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b\Desktop\2015 2016 Adjustment Budget to NT\"/>
    </mc:Choice>
  </mc:AlternateContent>
  <workbookProtection workbookPassword="FB84" lockStructure="1"/>
  <bookViews>
    <workbookView xWindow="0" yWindow="0" windowWidth="19200" windowHeight="5955" tabRatio="857" activeTab="1"/>
  </bookViews>
  <sheets>
    <sheet name="START" sheetId="340" r:id="rId1"/>
    <sheet name="Instructions" sheetId="341" r:id="rId2"/>
    <sheet name="Template names" sheetId="100" state="veryHidden" r:id="rId3"/>
    <sheet name="Lookup and lists" sheetId="336" state="veryHidden" r:id="rId4"/>
    <sheet name="E1-Sum" sheetId="280" r:id="rId5"/>
    <sheet name="E2-FinPerf" sheetId="196" r:id="rId6"/>
    <sheet name="E3-Capex" sheetId="195" r:id="rId7"/>
    <sheet name="E4-FinPos" sheetId="194" r:id="rId8"/>
    <sheet name="E5-CFlow" sheetId="193" r:id="rId9"/>
    <sheet name="SE1" sheetId="192" r:id="rId10"/>
    <sheet name="SE2" sheetId="191" r:id="rId11"/>
    <sheet name="SE3" sheetId="286" r:id="rId12"/>
    <sheet name="SE4" sheetId="287" r:id="rId13"/>
    <sheet name="SE5" sheetId="278" r:id="rId14"/>
    <sheet name="SE6a" sheetId="339" r:id="rId15"/>
    <sheet name="SE6b" sheetId="338" r:id="rId16"/>
    <sheet name="SE6c" sheetId="337" r:id="rId17"/>
    <sheet name="SE7" sheetId="333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DJ1" localSheetId="1">'[1]Template names'!#REF!</definedName>
    <definedName name="_ADJ1">'Template names'!#REF!</definedName>
    <definedName name="_ADJ10" localSheetId="1">'[1]Template names'!#REF!</definedName>
    <definedName name="_ADJ10">'Template names'!#REF!</definedName>
    <definedName name="_ADJ11" localSheetId="1">'[1]Template names'!#REF!</definedName>
    <definedName name="_ADJ11">'Template names'!#REF!</definedName>
    <definedName name="_ADJ12" localSheetId="1">'[1]Template names'!#REF!</definedName>
    <definedName name="_ADJ12">'Template names'!#REF!</definedName>
    <definedName name="_ADJ13" localSheetId="1">'[1]Template names'!#REF!</definedName>
    <definedName name="_ADJ13">'Template names'!#REF!</definedName>
    <definedName name="_ADJ14" localSheetId="1">'[1]Template names'!#REF!</definedName>
    <definedName name="_ADJ14">'Template names'!#REF!</definedName>
    <definedName name="_ADJ16" localSheetId="1">'[1]Template names'!#REF!</definedName>
    <definedName name="_ADJ16">'Template names'!#REF!</definedName>
    <definedName name="_ADJ17" localSheetId="1">'[1]Template names'!#REF!</definedName>
    <definedName name="_ADJ17">'Template names'!#REF!</definedName>
    <definedName name="_ADJ18" localSheetId="1">'[1]Template names'!#REF!</definedName>
    <definedName name="_ADJ18">'Template names'!#REF!</definedName>
    <definedName name="_ADJ19" localSheetId="1">'[1]Template names'!#REF!</definedName>
    <definedName name="_ADJ19">'Template names'!#REF!</definedName>
    <definedName name="_ADJ2" localSheetId="1">'[1]Template names'!#REF!</definedName>
    <definedName name="_ADJ2">'Template names'!#REF!</definedName>
    <definedName name="_ADJ3" localSheetId="1">'[1]Template names'!#REF!</definedName>
    <definedName name="_ADJ3">'Template names'!#REF!</definedName>
    <definedName name="_ADJ4" localSheetId="1">'[1]Template names'!#REF!</definedName>
    <definedName name="_ADJ4">'Template names'!#REF!</definedName>
    <definedName name="_ADJ5" localSheetId="1">'[1]Template names'!#REF!</definedName>
    <definedName name="_ADJ5">'Template names'!#REF!</definedName>
    <definedName name="_ADJ6" localSheetId="1">'[1]Template names'!#REF!</definedName>
    <definedName name="_ADJ6">'Template names'!#REF!</definedName>
    <definedName name="_ADJ7" localSheetId="1">'[1]Template names'!#REF!</definedName>
    <definedName name="_ADJ7">'Template names'!#REF!</definedName>
    <definedName name="_ADJ8" localSheetId="1">'[1]Template names'!#REF!</definedName>
    <definedName name="_ADJ8">'Template names'!#REF!</definedName>
    <definedName name="_ADJ9" localSheetId="1">'[1]Template names'!#REF!</definedName>
    <definedName name="_ADJ9">'Template names'!#REF!</definedName>
    <definedName name="_ccf04" localSheetId="1">#REF!</definedName>
    <definedName name="_ccf04">#REF!</definedName>
    <definedName name="_ccf05" localSheetId="1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'[3]Balance Sheet'!$D$50</definedName>
    <definedName name="_cpi2">'[3]Balance Sheet'!$E$50</definedName>
    <definedName name="_cpi3">'[3]Balance Sheet'!$F$50</definedName>
    <definedName name="_DEP1">'Template names'!#REF!</definedName>
    <definedName name="_DEP10">'Template names'!#REF!</definedName>
    <definedName name="_DEP11">'Template names'!#REF!</definedName>
    <definedName name="_DEP12">'Template names'!#REF!</definedName>
    <definedName name="_DEP13">'Template names'!#REF!</definedName>
    <definedName name="_DEP14">'Template names'!#REF!</definedName>
    <definedName name="_DEP2">'Template names'!#REF!</definedName>
    <definedName name="_DEP3">'Template names'!#REF!</definedName>
    <definedName name="_DEP4">'Template names'!#REF!</definedName>
    <definedName name="_DEP5">'Template names'!#REF!</definedName>
    <definedName name="_DEP6">'Template names'!#REF!</definedName>
    <definedName name="_DEP7">'Template names'!#REF!</definedName>
    <definedName name="_DEP8">'Template names'!#REF!</definedName>
    <definedName name="_DEP9">'Template names'!#REF!</definedName>
    <definedName name="_ecf04" localSheetId="1">#REF!</definedName>
    <definedName name="_ecf04">#REF!</definedName>
    <definedName name="_ecf05" localSheetId="1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1">#REF!</definedName>
    <definedName name="_emp04">#REF!</definedName>
    <definedName name="_emp05" localSheetId="1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Ent1">'Template names'!#REF!</definedName>
    <definedName name="_Ent2">'Template names'!#REF!</definedName>
    <definedName name="_Ent3">'Template names'!#REF!</definedName>
    <definedName name="_inf1" localSheetId="1">#REF!</definedName>
    <definedName name="_inf1">#REF!</definedName>
    <definedName name="_inf2" localSheetId="1">#REF!</definedName>
    <definedName name="_inf2">#REF!</definedName>
    <definedName name="_inf3" localSheetId="1">#REF!</definedName>
    <definedName name="_inf3">#REF!</definedName>
    <definedName name="_int04" localSheetId="1">#REF!</definedName>
    <definedName name="_int04">#REF!</definedName>
    <definedName name="_int05" localSheetId="1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1">#REF!</definedName>
    <definedName name="_inv04">#REF!</definedName>
    <definedName name="_inv05" localSheetId="1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1">'[1]Template names'!#REF!</definedName>
    <definedName name="_MEB1">'Template names'!#REF!</definedName>
    <definedName name="_MEB10" localSheetId="1">'[1]Template names'!#REF!</definedName>
    <definedName name="_MEB10">'Template names'!#REF!</definedName>
    <definedName name="_MEB11" localSheetId="1">'[1]Template names'!#REF!</definedName>
    <definedName name="_MEB11">'Template names'!#REF!</definedName>
    <definedName name="_MEB12" localSheetId="1">'[1]Template names'!#REF!</definedName>
    <definedName name="_MEB12">'Template names'!#REF!</definedName>
    <definedName name="_MEB2" localSheetId="1">'[1]Template names'!#REF!</definedName>
    <definedName name="_MEB2">'Template names'!#REF!</definedName>
    <definedName name="_MEB3" localSheetId="1">'[1]Template names'!#REF!</definedName>
    <definedName name="_MEB3">'Template names'!#REF!</definedName>
    <definedName name="_MEB4" localSheetId="1">'[1]Template names'!#REF!</definedName>
    <definedName name="_MEB4">'Template names'!#REF!</definedName>
    <definedName name="_MEB5" localSheetId="1">'[1]Template names'!#REF!</definedName>
    <definedName name="_MEB5">'Template names'!#REF!</definedName>
    <definedName name="_MEB6" localSheetId="1">'[1]Template names'!#REF!</definedName>
    <definedName name="_MEB6">'Template names'!#REF!</definedName>
    <definedName name="_MEB7" localSheetId="1">'[1]Template names'!#REF!</definedName>
    <definedName name="_MEB7">'Template names'!#REF!</definedName>
    <definedName name="_MEB8" localSheetId="1">'[1]Template names'!#REF!</definedName>
    <definedName name="_MEB8">'Template names'!#REF!</definedName>
    <definedName name="_MEB9" localSheetId="1">'[1]Template names'!#REF!</definedName>
    <definedName name="_MEB9">'Template names'!#REF!</definedName>
    <definedName name="_MER1" localSheetId="1">'[1]Template names'!#REF!</definedName>
    <definedName name="_MER1">'Template names'!#REF!</definedName>
    <definedName name="_MER10" localSheetId="1">'[1]Template names'!#REF!</definedName>
    <definedName name="_MER10">'Template names'!#REF!</definedName>
    <definedName name="_MER11" localSheetId="1">'[1]Template names'!#REF!</definedName>
    <definedName name="_MER11">'Template names'!#REF!</definedName>
    <definedName name="_MER2" localSheetId="1">'[1]Template names'!#REF!</definedName>
    <definedName name="_MER2">'Template names'!#REF!</definedName>
    <definedName name="_MER3" localSheetId="1">'[1]Template names'!#REF!</definedName>
    <definedName name="_MER3">'Template names'!#REF!</definedName>
    <definedName name="_MER4" localSheetId="1">'[1]Template names'!#REF!</definedName>
    <definedName name="_MER4">'Template names'!#REF!</definedName>
    <definedName name="_MER5" localSheetId="1">'[1]Template names'!#REF!</definedName>
    <definedName name="_MER5">'Template names'!#REF!</definedName>
    <definedName name="_MER6" localSheetId="1">'[1]Template names'!#REF!</definedName>
    <definedName name="_MER6">'Template names'!#REF!</definedName>
    <definedName name="_MER7" localSheetId="1">'[1]Template names'!#REF!</definedName>
    <definedName name="_MER7">'Template names'!#REF!</definedName>
    <definedName name="_MER8" localSheetId="1">'[1]Template names'!#REF!</definedName>
    <definedName name="_MER8">'Template names'!#REF!</definedName>
    <definedName name="_MER9" localSheetId="1">'[1]Template names'!#REF!</definedName>
    <definedName name="_MER9">'Template names'!#REF!</definedName>
    <definedName name="_rat03" localSheetId="1">#REF!</definedName>
    <definedName name="_rat03">#REF!</definedName>
    <definedName name="_rat04" localSheetId="1">#REF!</definedName>
    <definedName name="_rat04">#REF!</definedName>
    <definedName name="_rat05" localSheetId="1">#REF!</definedName>
    <definedName name="_rat05">#REF!</definedName>
    <definedName name="_rat06" localSheetId="1">#REF!</definedName>
    <definedName name="_rat06">#REF!</definedName>
    <definedName name="_rat07" localSheetId="1">#REF!</definedName>
    <definedName name="_rat07">#REF!</definedName>
    <definedName name="_rat08" localSheetId="1">#REF!</definedName>
    <definedName name="_rat08">#REF!</definedName>
    <definedName name="_rat09" localSheetId="1">#REF!</definedName>
    <definedName name="_rat09">#REF!</definedName>
    <definedName name="_rat10" localSheetId="1">#REF!</definedName>
    <definedName name="_rat10">#REF!</definedName>
    <definedName name="_rat11" localSheetId="1">#REF!</definedName>
    <definedName name="_rat11">#REF!</definedName>
    <definedName name="_rat12" localSheetId="1">#REF!</definedName>
    <definedName name="_rat12">#REF!</definedName>
    <definedName name="_rat13" localSheetId="1">#REF!</definedName>
    <definedName name="_rat13">#REF!</definedName>
    <definedName name="_rgr05" localSheetId="1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>#REF!</definedName>
    <definedName name="_rgr19">#REF!</definedName>
    <definedName name="_rgr20">#REF!</definedName>
    <definedName name="_rmc05" localSheetId="1">#REF!</definedName>
    <definedName name="_rmc05">#REF!</definedName>
    <definedName name="_rmc06">#REF!</definedName>
    <definedName name="_rmc07">#REF!</definedName>
    <definedName name="_rmc08">#REF!</definedName>
    <definedName name="_rmc09">#REF!</definedName>
    <definedName name="_rmc10">#REF!</definedName>
    <definedName name="_rmc11">#REF!</definedName>
    <definedName name="_rmc12">#REF!</definedName>
    <definedName name="_rmc13">#REF!</definedName>
    <definedName name="_rmc14">#REF!</definedName>
    <definedName name="_rmc15">#REF!</definedName>
    <definedName name="_rmc16">#REF!</definedName>
    <definedName name="_rmc17">#REF!</definedName>
    <definedName name="_rmc18">#REF!</definedName>
    <definedName name="_rmc19">#REF!</definedName>
    <definedName name="_rmc20">#REF!</definedName>
    <definedName name="_rmc21">#REF!</definedName>
    <definedName name="_Sch1" localSheetId="1">'[5]Template names'!#REF!</definedName>
    <definedName name="_Sch1">'Template names'!#REF!</definedName>
    <definedName name="_Sch10" localSheetId="1">'[5]Template names'!#REF!</definedName>
    <definedName name="_Sch10">'Template names'!#REF!</definedName>
    <definedName name="_sch11" localSheetId="1">'[5]Template names'!#REF!</definedName>
    <definedName name="_sch11">'Template names'!#REF!</definedName>
    <definedName name="_Sch2" localSheetId="1">'[5]Template names'!#REF!</definedName>
    <definedName name="_Sch2">'Template names'!#REF!</definedName>
    <definedName name="_Sch3" localSheetId="1">'[5]Template names'!#REF!</definedName>
    <definedName name="_Sch3">'Template names'!#REF!</definedName>
    <definedName name="_Sch4" localSheetId="1">'[5]Template names'!#REF!</definedName>
    <definedName name="_Sch4">'Template names'!#REF!</definedName>
    <definedName name="_Sch5" localSheetId="1">'[5]Template names'!#REF!</definedName>
    <definedName name="_Sch5">'Template names'!#REF!</definedName>
    <definedName name="_Sch6" localSheetId="1">'[5]Template names'!#REF!</definedName>
    <definedName name="_Sch6">'Template names'!#REF!</definedName>
    <definedName name="_Sch7" localSheetId="1">'[5]Template names'!#REF!</definedName>
    <definedName name="_Sch7">'Template names'!#REF!</definedName>
    <definedName name="_Sch8" localSheetId="1">'[5]Template names'!#REF!</definedName>
    <definedName name="_Sch8">'Template names'!#REF!</definedName>
    <definedName name="_Sch9" localSheetId="1">'[5]Template names'!#REF!</definedName>
    <definedName name="_Sch9">'Template names'!#REF!</definedName>
    <definedName name="_sdc05" localSheetId="1">#REF!</definedName>
    <definedName name="_sdc05">#REF!</definedName>
    <definedName name="_sdc06">#REF!</definedName>
    <definedName name="_sdc07">#REF!</definedName>
    <definedName name="_sdc08">#REF!</definedName>
    <definedName name="_sdc09">#REF!</definedName>
    <definedName name="_sdc10">#REF!</definedName>
    <definedName name="_sdc11">#REF!</definedName>
    <definedName name="_sdc12">#REF!</definedName>
    <definedName name="_sdc13">#REF!</definedName>
    <definedName name="_sdc14">#REF!</definedName>
    <definedName name="_sdc15">#REF!</definedName>
    <definedName name="_sdc16">#REF!</definedName>
    <definedName name="_sdc17">#REF!</definedName>
    <definedName name="_sdc18">#REF!</definedName>
    <definedName name="_sdc19">#REF!</definedName>
    <definedName name="_sdc20">#REF!</definedName>
    <definedName name="_wc05" localSheetId="1">#REF!</definedName>
    <definedName name="_wc05">#REF!</definedName>
    <definedName name="_wc06">#REF!</definedName>
    <definedName name="_wc07">#REF!</definedName>
    <definedName name="_wc08">#REF!</definedName>
    <definedName name="_wc09">#REF!</definedName>
    <definedName name="_wc10">#REF!</definedName>
    <definedName name="_wc11">#REF!</definedName>
    <definedName name="_wc12">#REF!</definedName>
    <definedName name="_wc13">#REF!</definedName>
    <definedName name="_wc14">#REF!</definedName>
    <definedName name="_wc15">#REF!</definedName>
    <definedName name="_wc16">#REF!</definedName>
    <definedName name="_wc17">#REF!</definedName>
    <definedName name="_wc18">#REF!</definedName>
    <definedName name="_wc19">#REF!</definedName>
    <definedName name="_wc20">#REF!</definedName>
    <definedName name="ADJ10plus" localSheetId="1">'[1]Template names'!#REF!</definedName>
    <definedName name="ADJ10plus">'Template names'!#REF!</definedName>
    <definedName name="ADJ18A" localSheetId="1">'[1]Template names'!#REF!</definedName>
    <definedName name="ADJ18A">'Template names'!#REF!</definedName>
    <definedName name="ADJ18B" localSheetId="1">'[1]Template names'!#REF!</definedName>
    <definedName name="ADJ18B">'Template names'!#REF!</definedName>
    <definedName name="ADJ19B" localSheetId="1">'[1]Template names'!#REF!</definedName>
    <definedName name="ADJ19B">'Template names'!#REF!</definedName>
    <definedName name="ADJ8A" localSheetId="1">'[1]Template names'!#REF!</definedName>
    <definedName name="ADJ8A">'Template names'!#REF!</definedName>
    <definedName name="ADJ8B" localSheetId="1">'[1]Template names'!#REF!</definedName>
    <definedName name="ADJ8B">'Template names'!#REF!</definedName>
    <definedName name="ADJP1" localSheetId="1">'[1]Template names'!#REF!</definedName>
    <definedName name="ADJP1">'Template names'!#REF!</definedName>
    <definedName name="adjsum" localSheetId="1">'[1]Template names'!#REF!</definedName>
    <definedName name="adjsum">'Template names'!#REF!</definedName>
    <definedName name="ADJTB1" localSheetId="1">'[1]Template names'!#REF!</definedName>
    <definedName name="ADJTB1">'Template names'!#REF!</definedName>
    <definedName name="ADJXX" localSheetId="1">'[1]Template names'!#REF!</definedName>
    <definedName name="ADJXX">'Template names'!#REF!</definedName>
    <definedName name="Approve10">'[2]Template names'!$B$109</definedName>
    <definedName name="assetsched">'Template names'!#REF!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1">#REF!</definedName>
    <definedName name="balloon">#REF!</definedName>
    <definedName name="basedesc">'Template names'!$D$40:$D$40</definedName>
    <definedName name="baseindex">'Template names'!#REF!</definedName>
    <definedName name="Bus" localSheetId="1">#REF!</definedName>
    <definedName name="Bus">#REF!</definedName>
    <definedName name="Capex">'E3-Capex'!$A$7</definedName>
    <definedName name="capexfactor" localSheetId="1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1">#REF!</definedName>
    <definedName name="capexrate04">#REF!</definedName>
    <definedName name="capexrate05" localSheetId="1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>#REF!</definedName>
    <definedName name="Cash1">'Template names'!$B$72</definedName>
    <definedName name="Cash2">'Template names'!$B$73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harges1">'Template names'!#REF!</definedName>
    <definedName name="choosebase">'Template names'!#REF!</definedName>
    <definedName name="Consolques">'Template names'!#REF!</definedName>
    <definedName name="cpix04" localSheetId="1">#REF!</definedName>
    <definedName name="cpix04">#REF!</definedName>
    <definedName name="cpix05" localSheetId="1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1">#REF!</definedName>
    <definedName name="credit06">#REF!</definedName>
    <definedName name="Date" localSheetId="1">Instructions!$X$10</definedName>
    <definedName name="Date">Instructions!$X$10</definedName>
    <definedName name="debt03" localSheetId="1">#REF!</definedName>
    <definedName name="debt03">#REF!</definedName>
    <definedName name="debt04" localSheetId="1">#REF!</definedName>
    <definedName name="debt04">#REF!</definedName>
    <definedName name="debt05" localSheetId="1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1">#REF!</definedName>
    <definedName name="debtrev04">#REF!</definedName>
    <definedName name="debtrev05" localSheetId="1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>'Template names'!$B$31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1">#REF!</definedName>
    <definedName name="ecchoice">#REF!</definedName>
    <definedName name="elec05" localSheetId="1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ntity">'Template names'!$B$76</definedName>
    <definedName name="EOYcapex">#REF!</definedName>
    <definedName name="eskom07" localSheetId="1">#REF!</definedName>
    <definedName name="eskom07">#REF!</definedName>
    <definedName name="fdil">'Template names'!$B$32</definedName>
    <definedName name="FinYear" localSheetId="1">Instructions!$X$38</definedName>
    <definedName name="finyear">[4]Data!$B$4</definedName>
    <definedName name="finyears" localSheetId="1">#REF!</definedName>
    <definedName name="finyears">#REF!</definedName>
    <definedName name="finyr">'[5]Template names'!#REF!</definedName>
    <definedName name="Fundnote">'Template names'!#REF!</definedName>
    <definedName name="Head1">'Template names'!$B$2</definedName>
    <definedName name="Head10">'Template names'!$B$17</definedName>
    <definedName name="Head11">'Template names'!$B$18</definedName>
    <definedName name="Head12">'Template names'!$B$19</definedName>
    <definedName name="Head13">'Template names'!$B$20</definedName>
    <definedName name="Head14">'Template names'!$B$21</definedName>
    <definedName name="Head15">'Template names'!$B$22</definedName>
    <definedName name="Head16">'Template names'!$B$23</definedName>
    <definedName name="Head17">'Template names'!$B$24</definedName>
    <definedName name="Head18">'Template names'!$B$25</definedName>
    <definedName name="Head19">'Template names'!$B$26</definedName>
    <definedName name="head1A">'Template names'!$B$3</definedName>
    <definedName name="head1b">'Template names'!$B$4</definedName>
    <definedName name="Head2">'Template names'!$B$5</definedName>
    <definedName name="Head20">'Template names'!$B$27</definedName>
    <definedName name="Head21">'Template names'!$B$28</definedName>
    <definedName name="Head22">'Template names'!$B$29</definedName>
    <definedName name="Head23">'Template names'!$B$30</definedName>
    <definedName name="Head24">'Template names'!$B$31</definedName>
    <definedName name="head27">'Template names'!$B$34</definedName>
    <definedName name="head27a">'Template names'!$B$35</definedName>
    <definedName name="Head29">'Template names'!$B$37</definedName>
    <definedName name="Head2A">'Template names'!$B$6</definedName>
    <definedName name="Head2B">'[5]Template names'!#REF!</definedName>
    <definedName name="Head3">'Template names'!$B$7</definedName>
    <definedName name="Head30">'Template names'!$B$38</definedName>
    <definedName name="Head31">'Template names'!$B$39</definedName>
    <definedName name="Head32">'Template names'!$B$40</definedName>
    <definedName name="Head33">'Template names'!$B$41</definedName>
    <definedName name="Head34">'Template names'!$B$42</definedName>
    <definedName name="Head35">'Template names'!$B$43</definedName>
    <definedName name="Head36">'Template names'!$B$44</definedName>
    <definedName name="Head37">'Template names'!$B$45</definedName>
    <definedName name="Head38">'Template names'!$B$46</definedName>
    <definedName name="Head39">'Template names'!$B$47</definedName>
    <definedName name="Head3a">'Template names'!$B$8</definedName>
    <definedName name="Head4">'Template names'!$B$9</definedName>
    <definedName name="Head40">'Template names'!$B$48</definedName>
    <definedName name="Head41">'Template names'!$B$49</definedName>
    <definedName name="Head42">'Template names'!$B$50</definedName>
    <definedName name="Head43">'Template names'!$B$51</definedName>
    <definedName name="Head44">'Template names'!$B$52</definedName>
    <definedName name="Head45">'Template names'!$B$53</definedName>
    <definedName name="head46">'Template names'!$B$54</definedName>
    <definedName name="Head47">'Template names'!$B$55</definedName>
    <definedName name="Head48">'Template names'!$B$56</definedName>
    <definedName name="Head49">'Template names'!$B$57</definedName>
    <definedName name="Head5">'Template names'!$B$10</definedName>
    <definedName name="Head50">'Template names'!$B$58</definedName>
    <definedName name="Head51">'Template names'!$B$59</definedName>
    <definedName name="Head52">'Template names'!$B$60</definedName>
    <definedName name="Head53">'Template names'!$B$61</definedName>
    <definedName name="Head54">'Template names'!$B$62</definedName>
    <definedName name="Head55">'Template names'!$B$63</definedName>
    <definedName name="Head56">'Template names'!$B$64</definedName>
    <definedName name="Head57">'Template names'!$B$65</definedName>
    <definedName name="Head58">'Template names'!$B$66</definedName>
    <definedName name="Head59">'Template names'!$B$67</definedName>
    <definedName name="Head5A">'Template names'!$B$11</definedName>
    <definedName name="Head5b">'Template names'!$B$12</definedName>
    <definedName name="Head6">'Template names'!$B$13</definedName>
    <definedName name="Head7">'Template names'!$B$14</definedName>
    <definedName name="Head8">'Template names'!$B$15</definedName>
    <definedName name="Head9">'Template names'!$B$16</definedName>
    <definedName name="Headings">'Lookup and lists'!$A$1:$O$24</definedName>
    <definedName name="hhgr05" localSheetId="1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1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1">#REF!</definedName>
    <definedName name="inventory">#REF!</definedName>
    <definedName name="longterm" localSheetId="1">#REF!</definedName>
    <definedName name="longterm">#REF!</definedName>
    <definedName name="MEAB1" localSheetId="1">'[1]Template names'!#REF!</definedName>
    <definedName name="MEAB1">'Template names'!$B$81</definedName>
    <definedName name="MEAB10" localSheetId="1">'[1]Template names'!#REF!</definedName>
    <definedName name="MEAB10a">'Template names'!$B$90</definedName>
    <definedName name="MEAB10b">'Template names'!$B$91</definedName>
    <definedName name="MEAB10c">'Template names'!$B$92</definedName>
    <definedName name="MEAB11" localSheetId="1">'[1]Template names'!#REF!</definedName>
    <definedName name="MEAB11">'Template names'!$B$93</definedName>
    <definedName name="MEAB12">'Template names'!$B$94</definedName>
    <definedName name="MEAB2" localSheetId="1">'[1]Template names'!#REF!</definedName>
    <definedName name="MEAB2">'Template names'!$B$82</definedName>
    <definedName name="MEAB3" localSheetId="1">'[1]Template names'!#REF!</definedName>
    <definedName name="MEAB3">'Template names'!$B$83</definedName>
    <definedName name="MEAB4" localSheetId="1">'[1]Template names'!#REF!</definedName>
    <definedName name="MEAB4">'Template names'!$B$84</definedName>
    <definedName name="MEAB5" localSheetId="1">'[1]Template names'!#REF!</definedName>
    <definedName name="MEAB5">'Template names'!$B$85</definedName>
    <definedName name="MEAB6" localSheetId="1">'[1]Template names'!#REF!</definedName>
    <definedName name="MEAB6">'Template names'!$B$86</definedName>
    <definedName name="MEAB7" localSheetId="1">'[1]Template names'!#REF!</definedName>
    <definedName name="MEAB7">'Template names'!$B$87</definedName>
    <definedName name="MEAB8" localSheetId="1">'[1]Template names'!#REF!</definedName>
    <definedName name="MEAB8">'Template names'!$B$88</definedName>
    <definedName name="MEAB9" localSheetId="1">'[1]Template names'!#REF!</definedName>
    <definedName name="MEAB9">'Template names'!$B$89</definedName>
    <definedName name="MEABsum" localSheetId="1">'[1]Template names'!#REF!</definedName>
    <definedName name="MEABsum">'Template names'!$B$80</definedName>
    <definedName name="MEB1A" localSheetId="1">'[1]Template names'!#REF!</definedName>
    <definedName name="MEB1A">'Template names'!#REF!</definedName>
    <definedName name="MEBsum" localSheetId="1">'[1]Template names'!#REF!</definedName>
    <definedName name="MEBsum">'Template names'!#REF!</definedName>
    <definedName name="MERsum" localSheetId="1">'[1]Template names'!#REF!</definedName>
    <definedName name="MERsum">'Template names'!#REF!</definedName>
    <definedName name="month">[4]Data!$B$1</definedName>
    <definedName name="MTREF" localSheetId="1">Instructions!$X$36</definedName>
    <definedName name="MTREF">Instructions!$X$36</definedName>
    <definedName name="muni">'Template names'!$B$76</definedName>
    <definedName name="MuniEntities">'[1]Template names'!$B$64</definedName>
    <definedName name="munishort">'Template names'!$B$77</definedName>
    <definedName name="MuniType">'[1]Template names'!$D$64</definedName>
    <definedName name="nersa07" localSheetId="1">#REF!</definedName>
    <definedName name="nersa07">#REF!</definedName>
    <definedName name="nersa08" localSheetId="1">#REF!</definedName>
    <definedName name="nersa08">#REF!</definedName>
    <definedName name="nethhgr05" localSheetId="1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ewTable25">'Template names'!#REF!</definedName>
    <definedName name="ninety" localSheetId="1">#REF!</definedName>
    <definedName name="ninety">#REF!</definedName>
    <definedName name="Note20">[6]Names!$B$89</definedName>
    <definedName name="poorgr06">#REF!</definedName>
    <definedName name="_xlnm.Print_Area" localSheetId="4">'E1-Sum'!$A$1:$K$47</definedName>
    <definedName name="_xlnm.Print_Area" localSheetId="5">'E2-FinPerf'!$A$1:$L$50</definedName>
    <definedName name="_xlnm.Print_Area" localSheetId="6">'E3-Capex'!$A$1:$L$50</definedName>
    <definedName name="_xlnm.Print_Area" localSheetId="7">'E4-FinPos'!$A$1:$L$56</definedName>
    <definedName name="_xlnm.Print_Area" localSheetId="8">'E5-CFlow'!$A$1:$L$52</definedName>
    <definedName name="_xlnm.Print_Area" localSheetId="1">Instructions!$A$1:$M$49</definedName>
    <definedName name="_xlnm.Print_Area" localSheetId="9">'SE1'!$A$1:$L$34</definedName>
    <definedName name="_xlnm.Print_Area" localSheetId="11">'SE3'!$A$1:$J$26</definedName>
    <definedName name="_xlnm.Print_Area" localSheetId="12">'SE4'!$A$1:$L$58</definedName>
    <definedName name="_xlnm.Print_Area" localSheetId="13">'SE5'!$A$1:$P$63</definedName>
    <definedName name="proptax07">#REF!</definedName>
    <definedName name="Rand000" localSheetId="1">#REF!</definedName>
    <definedName name="Rand000">#REF!</definedName>
    <definedName name="RandM">'Template names'!$B$74</definedName>
    <definedName name="Rates1">'Template names'!#REF!</definedName>
    <definedName name="Rates2">'Template names'!#REF!</definedName>
    <definedName name="Rates3">'Template names'!#REF!</definedName>
    <definedName name="REDHHGR06" localSheetId="1">#REF!</definedName>
    <definedName name="REDHHGR06">#REF!</definedName>
    <definedName name="redhhgr07" localSheetId="1">#REF!</definedName>
    <definedName name="redhhgr07">#REF!</definedName>
    <definedName name="redrev06" localSheetId="1">#REF!</definedName>
    <definedName name="redrev06">#REF!</definedName>
    <definedName name="redrev07" localSheetId="1">#REF!</definedName>
    <definedName name="redrev07">#REF!</definedName>
    <definedName name="Reds" localSheetId="1">#REF!</definedName>
    <definedName name="Reds">#REF!</definedName>
    <definedName name="renewyears">#REF!</definedName>
    <definedName name="Request0506" localSheetId="1">#REF!</definedName>
    <definedName name="Request0506">#REF!</definedName>
    <definedName name="resiprop">#REF!</definedName>
    <definedName name="result">'Template names'!$B$36</definedName>
    <definedName name="rmcRED06" localSheetId="1">#REF!</definedName>
    <definedName name="rmcRED06">#REF!</definedName>
    <definedName name="rmcred07" localSheetId="1">#REF!</definedName>
    <definedName name="rmcred07">#REF!</definedName>
    <definedName name="roundfactor" localSheetId="1">#REF!</definedName>
    <definedName name="roundfactor">#REF!</definedName>
    <definedName name="S71A" localSheetId="1">'[1]Template names'!#REF!</definedName>
    <definedName name="S71A">'Template names'!#REF!</definedName>
    <definedName name="S71B" localSheetId="1">'[1]Template names'!#REF!</definedName>
    <definedName name="S71B">'Template names'!#REF!</definedName>
    <definedName name="s71B8" localSheetId="1">'[1]Template names'!#REF!</definedName>
    <definedName name="s71B8">'Template names'!#REF!</definedName>
    <definedName name="s71B9" localSheetId="1">'[1]Template names'!#REF!</definedName>
    <definedName name="s71B9">'Template names'!#REF!</definedName>
    <definedName name="S71C" localSheetId="1">'[1]Template names'!#REF!</definedName>
    <definedName name="S71C">'Template names'!#REF!</definedName>
    <definedName name="S71D" localSheetId="1">'[1]Template names'!#REF!</definedName>
    <definedName name="S71D">'Template names'!#REF!</definedName>
    <definedName name="S71E" localSheetId="1">'[1]Template names'!#REF!</definedName>
    <definedName name="S71E">'Template names'!#REF!</definedName>
    <definedName name="S71F" localSheetId="1">'[1]Template names'!#REF!</definedName>
    <definedName name="S71F">'Template names'!#REF!</definedName>
    <definedName name="S71G" localSheetId="1">'[1]Template names'!#REF!</definedName>
    <definedName name="S71G">'Template names'!#REF!</definedName>
    <definedName name="S71H" localSheetId="1">'[1]Template names'!#REF!</definedName>
    <definedName name="S71H">'Template names'!#REF!</definedName>
    <definedName name="S71I" localSheetId="1">'[1]Template names'!#REF!</definedName>
    <definedName name="S71I">'Template names'!#REF!</definedName>
    <definedName name="S71J" localSheetId="1">'[1]Template names'!#REF!</definedName>
    <definedName name="S71J">'Template names'!#REF!</definedName>
    <definedName name="S71K" localSheetId="1">'[1]Template names'!#REF!</definedName>
    <definedName name="S71K">'Template names'!#REF!</definedName>
    <definedName name="S71L" localSheetId="1">'[1]Template names'!#REF!</definedName>
    <definedName name="S71L">'Template names'!#REF!</definedName>
    <definedName name="S71M" localSheetId="1">'[1]Template names'!#REF!</definedName>
    <definedName name="S71M">'Template names'!#REF!</definedName>
    <definedName name="S71N" localSheetId="1">'[1]Template names'!#REF!</definedName>
    <definedName name="S71N">'Template names'!#REF!</definedName>
    <definedName name="S71O" localSheetId="1">'[1]Template names'!#REF!</definedName>
    <definedName name="S71O">'Template names'!#REF!</definedName>
    <definedName name="S71P" localSheetId="1">'[1]Template names'!#REF!</definedName>
    <definedName name="S71P">'Template names'!#REF!</definedName>
    <definedName name="S71Q" localSheetId="1">'[1]Template names'!#REF!</definedName>
    <definedName name="S71Q">'Template names'!#REF!</definedName>
    <definedName name="S71SDBIP" localSheetId="1">'[1]Template names'!#REF!</definedName>
    <definedName name="S71SDBIP">'Template names'!#REF!</definedName>
    <definedName name="s71sum" localSheetId="1">'[1]Template names'!#REF!</definedName>
    <definedName name="s71sum">'Template names'!#REF!</definedName>
    <definedName name="Scale" localSheetId="1">'[5]Template names'!#REF!</definedName>
    <definedName name="Scale">'Template names'!#REF!</definedName>
    <definedName name="scenario" localSheetId="1">#REF!</definedName>
    <definedName name="scenario">#REF!</definedName>
    <definedName name="Sch1a" localSheetId="1">'[5]Template names'!#REF!</definedName>
    <definedName name="Sch1a">'Template names'!#REF!</definedName>
    <definedName name="Sch2N" localSheetId="1">'[5]Template names'!#REF!</definedName>
    <definedName name="Sch2N">'Template names'!#REF!</definedName>
    <definedName name="Sch5N" localSheetId="1">'[5]Template names'!#REF!</definedName>
    <definedName name="Sch5N">'Template names'!#REF!</definedName>
    <definedName name="Sch7N" localSheetId="1">'[5]Template names'!#REF!</definedName>
    <definedName name="Sch7N">'Template names'!#REF!</definedName>
    <definedName name="SDBIP1" localSheetId="1">'[1]Template names'!#REF!</definedName>
    <definedName name="SDBIP1">'Template names'!#REF!</definedName>
    <definedName name="SDBIP10" localSheetId="1">'[1]Template names'!#REF!</definedName>
    <definedName name="SDBIP10">'Template names'!#REF!</definedName>
    <definedName name="SDBIP2" localSheetId="1">'[1]Template names'!#REF!</definedName>
    <definedName name="SDBIP2">'Template names'!#REF!</definedName>
    <definedName name="SDBIP3" localSheetId="1">'[1]Template names'!#REF!</definedName>
    <definedName name="SDBIP3">'Template names'!#REF!</definedName>
    <definedName name="SDBIP4" localSheetId="1">'[1]Template names'!#REF!</definedName>
    <definedName name="SDBIP4">'Template names'!#REF!</definedName>
    <definedName name="SDBIP8" localSheetId="1">'[1]Template names'!#REF!</definedName>
    <definedName name="SDBIP8">'Template names'!#REF!</definedName>
    <definedName name="sdcred06">#REF!</definedName>
    <definedName name="SFPerf1">'Template names'!$B$68</definedName>
    <definedName name="SFPerf2">'Template names'!$B$69</definedName>
    <definedName name="SFpos1">'Template names'!$B$70</definedName>
    <definedName name="SFpos2">'Template names'!$B$71</definedName>
    <definedName name="TabC19" localSheetId="1">'[5]Template names'!#REF!</definedName>
    <definedName name="TabC19">'Template names'!#REF!</definedName>
    <definedName name="TabC3" localSheetId="1">'[1]Template names'!#REF!</definedName>
    <definedName name="TabC3">'Template names'!#REF!</definedName>
    <definedName name="TabC4" localSheetId="1">'[1]Template names'!#REF!</definedName>
    <definedName name="TabC4">'Template names'!#REF!</definedName>
    <definedName name="TabC5" localSheetId="1">'[1]Template names'!#REF!</definedName>
    <definedName name="TabC5">'Template names'!#REF!</definedName>
    <definedName name="TabC6" localSheetId="1">'[1]Template names'!#REF!</definedName>
    <definedName name="TabC6">'Template names'!#REF!</definedName>
    <definedName name="Tabc7" localSheetId="1">'[1]Template names'!#REF!</definedName>
    <definedName name="Tabc7">'Template names'!#REF!</definedName>
    <definedName name="Tabc8" localSheetId="1">'[1]Template names'!#REF!</definedName>
    <definedName name="Tabc8">'Template names'!#REF!</definedName>
    <definedName name="Tabc9" localSheetId="1">'[1]Template names'!#REF!</definedName>
    <definedName name="Tabc9">'Template names'!#REF!</definedName>
    <definedName name="Tablc8" localSheetId="1">'[1]Template names'!#REF!</definedName>
    <definedName name="Tablc8">'Template names'!#REF!</definedName>
    <definedName name="Table1" localSheetId="1">'[5]Template names'!#REF!</definedName>
    <definedName name="Table1">'Template names'!#REF!</definedName>
    <definedName name="Table10" localSheetId="1">'[5]Template names'!#REF!</definedName>
    <definedName name="Table10">'Template names'!#REF!</definedName>
    <definedName name="Table11" localSheetId="1">'[5]Template names'!#REF!</definedName>
    <definedName name="Table11">'Template names'!#REF!</definedName>
    <definedName name="Table12" localSheetId="1">'[5]Template names'!#REF!</definedName>
    <definedName name="Table12">'Template names'!#REF!</definedName>
    <definedName name="Table13" localSheetId="1">'[5]Template names'!#REF!</definedName>
    <definedName name="Table13">'Template names'!#REF!</definedName>
    <definedName name="Table14" localSheetId="1">'[5]Template names'!#REF!</definedName>
    <definedName name="Table14">'Template names'!#REF!</definedName>
    <definedName name="Table14A" localSheetId="1">'[5]Template names'!#REF!</definedName>
    <definedName name="Table14A">'Template names'!#REF!</definedName>
    <definedName name="Table14B" localSheetId="1">'[5]Template names'!#REF!</definedName>
    <definedName name="Table14B">'Template names'!#REF!</definedName>
    <definedName name="Table15" localSheetId="1">'[5]Template names'!#REF!</definedName>
    <definedName name="Table15">'Template names'!#REF!</definedName>
    <definedName name="Table15A" localSheetId="1">'[5]Template names'!#REF!</definedName>
    <definedName name="Table15A">'Template names'!#REF!</definedName>
    <definedName name="Table15New" localSheetId="1">'[5]Template names'!#REF!</definedName>
    <definedName name="Table15New">'Template names'!#REF!</definedName>
    <definedName name="Table16" localSheetId="1">'[5]Template names'!#REF!</definedName>
    <definedName name="Table16">'Template names'!#REF!</definedName>
    <definedName name="Table17" localSheetId="1">'[5]Template names'!#REF!</definedName>
    <definedName name="Table17">'Template names'!#REF!</definedName>
    <definedName name="Table18" localSheetId="1">'[5]Template names'!#REF!</definedName>
    <definedName name="Table18">'Template names'!#REF!</definedName>
    <definedName name="Table19" localSheetId="1">'[5]Template names'!#REF!</definedName>
    <definedName name="Table19">'Template names'!#REF!</definedName>
    <definedName name="Table2" localSheetId="1">'[5]Template names'!#REF!</definedName>
    <definedName name="Table2">'Template names'!#REF!</definedName>
    <definedName name="Table20" localSheetId="1">'[5]Template names'!#REF!</definedName>
    <definedName name="Table20">'Template names'!#REF!</definedName>
    <definedName name="Table21" localSheetId="1">'[5]Template names'!#REF!</definedName>
    <definedName name="Table21">'Template names'!#REF!</definedName>
    <definedName name="Table22" localSheetId="1">'[5]Template names'!#REF!</definedName>
    <definedName name="Table22">'Template names'!#REF!</definedName>
    <definedName name="Table23" localSheetId="1">'[5]Template names'!#REF!</definedName>
    <definedName name="Table23">'Template names'!#REF!</definedName>
    <definedName name="Table24" localSheetId="1">'[5]Template names'!#REF!</definedName>
    <definedName name="Table24">'Template names'!#REF!</definedName>
    <definedName name="Table24A" localSheetId="1">'[5]Template names'!#REF!</definedName>
    <definedName name="Table24A">'Template names'!#REF!</definedName>
    <definedName name="Table25" localSheetId="1">'[5]Template names'!#REF!</definedName>
    <definedName name="Table25">'Template names'!#REF!</definedName>
    <definedName name="Table26" localSheetId="1">'[5]Template names'!#REF!</definedName>
    <definedName name="Table26">'Template names'!#REF!</definedName>
    <definedName name="Table27" localSheetId="1">'[5]Template names'!#REF!</definedName>
    <definedName name="Table27">'Template names'!#REF!</definedName>
    <definedName name="Table28" localSheetId="1">'[5]Template names'!#REF!</definedName>
    <definedName name="Table28">'Template names'!#REF!</definedName>
    <definedName name="Table29" localSheetId="1">'[5]Template names'!#REF!</definedName>
    <definedName name="Table29">'Template names'!#REF!</definedName>
    <definedName name="Table3" localSheetId="1">'[5]Template names'!#REF!</definedName>
    <definedName name="Table3">'Template names'!#REF!</definedName>
    <definedName name="Table30" localSheetId="1">'[5]Template names'!#REF!</definedName>
    <definedName name="Table30">'Template names'!#REF!</definedName>
    <definedName name="Table31" localSheetId="1">'[5]Template names'!#REF!</definedName>
    <definedName name="Table31">'Template names'!#REF!</definedName>
    <definedName name="Table32" localSheetId="1">'[5]Template names'!#REF!</definedName>
    <definedName name="Table32">'Template names'!#REF!</definedName>
    <definedName name="Table33" localSheetId="1">'[5]Template names'!#REF!</definedName>
    <definedName name="Table33">'Template names'!#REF!</definedName>
    <definedName name="Table4" localSheetId="1">'[5]Template names'!#REF!</definedName>
    <definedName name="Table4">'Template names'!#REF!</definedName>
    <definedName name="Table5" localSheetId="1">'[5]Template names'!#REF!</definedName>
    <definedName name="Table5">'Template names'!#REF!</definedName>
    <definedName name="Table6" localSheetId="1">'[5]Template names'!#REF!</definedName>
    <definedName name="Table6">'Template names'!#REF!</definedName>
    <definedName name="Table7" localSheetId="1">'[5]Template names'!#REF!</definedName>
    <definedName name="Table7">'Template names'!#REF!</definedName>
    <definedName name="Table8" localSheetId="1">'[5]Template names'!#REF!</definedName>
    <definedName name="Table8">'Template names'!#REF!</definedName>
    <definedName name="Table9" localSheetId="1">'[5]Template names'!#REF!</definedName>
    <definedName name="Table9">'Template names'!#REF!</definedName>
    <definedName name="TableA9">'[2]Template names'!$B$119</definedName>
    <definedName name="TableD7" localSheetId="1">'[1]Template names'!#REF!</definedName>
    <definedName name="TableD7">'Template names'!#REF!</definedName>
    <definedName name="TableD8" localSheetId="1">'[1]Template names'!#REF!</definedName>
    <definedName name="TableD8">'Template names'!#REF!</definedName>
    <definedName name="TableE4" localSheetId="1">'[1]Template names'!#REF!</definedName>
    <definedName name="TableE4">'Template names'!#REF!</definedName>
    <definedName name="TableE7" localSheetId="1">'[1]Template names'!#REF!</definedName>
    <definedName name="TableE7">'Template names'!#REF!</definedName>
    <definedName name="TableE9" localSheetId="1">'[1]Template names'!#REF!</definedName>
    <definedName name="TableE9">'Template names'!#REF!</definedName>
    <definedName name="TableF6" localSheetId="1">'[1]Template names'!#REF!</definedName>
    <definedName name="TableF6">'[5]Template names'!#REF!</definedName>
    <definedName name="tariffdisc05" localSheetId="1">#REF!</definedName>
    <definedName name="tariffdisc05">#REF!</definedName>
    <definedName name="tariffdisc06">#REF!</definedName>
    <definedName name="tariffdisc07">#REF!</definedName>
    <definedName name="tariffdisc08">#REF!</definedName>
    <definedName name="tariffdisc09">#REF!</definedName>
    <definedName name="tariffdisc10">#REF!</definedName>
    <definedName name="tariffdisc11">#REF!</definedName>
    <definedName name="tariffdisc12">#REF!</definedName>
    <definedName name="tariffdisc13">#REF!</definedName>
    <definedName name="tariffdisc14">#REF!</definedName>
    <definedName name="tariffdisc15">#REF!</definedName>
    <definedName name="tariffdisc16">#REF!</definedName>
    <definedName name="tariffdisc17">#REF!</definedName>
    <definedName name="tariffdisc18">#REF!</definedName>
    <definedName name="tariffdisc19">#REF!</definedName>
    <definedName name="tariffdisc20">#REF!</definedName>
    <definedName name="title1">#REF!</definedName>
    <definedName name="Vdesc">'Template names'!$B$33</definedName>
    <definedName name="YesNo">'[7]Lookup and lists'!$L$2:$L$3</definedName>
    <definedName name="yrend">[4]Data!$B$3</definedName>
  </definedNames>
  <calcPr calcId="152511"/>
  <fileRecoveryPr autoRecover="0"/>
</workbook>
</file>

<file path=xl/calcChain.xml><?xml version="1.0" encoding="utf-8"?>
<calcChain xmlns="http://schemas.openxmlformats.org/spreadsheetml/2006/main">
  <c r="L40" i="287" l="1"/>
  <c r="K40" i="287"/>
  <c r="L39" i="287"/>
  <c r="K39" i="287"/>
  <c r="L36" i="287"/>
  <c r="L35" i="287"/>
  <c r="K35" i="287"/>
  <c r="L34" i="287"/>
  <c r="K34" i="287"/>
  <c r="L28" i="287"/>
  <c r="K28" i="287"/>
  <c r="L21" i="287"/>
  <c r="K21" i="287"/>
  <c r="L8" i="287"/>
  <c r="K8" i="287"/>
  <c r="L16" i="193"/>
  <c r="L10" i="193"/>
  <c r="K16" i="193"/>
  <c r="H36" i="278"/>
  <c r="G36" i="278"/>
  <c r="F36" i="278"/>
  <c r="E36" i="278"/>
  <c r="D36" i="278"/>
  <c r="C36" i="278"/>
  <c r="B36" i="278"/>
  <c r="G34" i="278"/>
  <c r="F34" i="278"/>
  <c r="E34" i="278"/>
  <c r="D34" i="278"/>
  <c r="C34" i="278"/>
  <c r="B34" i="278"/>
  <c r="G31" i="278"/>
  <c r="F31" i="278"/>
  <c r="F30" i="278"/>
  <c r="H27" i="278"/>
  <c r="G27" i="278"/>
  <c r="F27" i="278"/>
  <c r="E27" i="278"/>
  <c r="C27" i="278"/>
  <c r="B27" i="278"/>
  <c r="H26" i="278"/>
  <c r="G26" i="278"/>
  <c r="F26" i="278"/>
  <c r="E26" i="278"/>
  <c r="C26" i="278"/>
  <c r="B26" i="278"/>
  <c r="H21" i="278"/>
  <c r="G21" i="278"/>
  <c r="D21" i="278"/>
  <c r="C21" i="278"/>
  <c r="B21" i="278"/>
  <c r="F8" i="287"/>
  <c r="C40" i="287"/>
  <c r="C34" i="287"/>
  <c r="C28" i="287"/>
  <c r="C21" i="287"/>
  <c r="C8" i="287"/>
  <c r="C10" i="193"/>
  <c r="F16" i="193"/>
  <c r="C16" i="193"/>
  <c r="L58" i="195"/>
  <c r="L57" i="195"/>
  <c r="M58" i="195"/>
  <c r="C58" i="195"/>
  <c r="C45" i="194"/>
  <c r="C34" i="194"/>
  <c r="C33" i="194"/>
  <c r="C9" i="194"/>
  <c r="E57" i="195"/>
  <c r="F57" i="195"/>
  <c r="G57" i="195"/>
  <c r="E58" i="195"/>
  <c r="F58" i="195"/>
  <c r="G58" i="195"/>
  <c r="E59" i="195"/>
  <c r="F59" i="195"/>
  <c r="G59" i="195"/>
  <c r="D58" i="195"/>
  <c r="D59" i="195"/>
  <c r="L42" i="196"/>
  <c r="L36" i="196"/>
  <c r="L34" i="196"/>
  <c r="L31" i="196"/>
  <c r="L30" i="196"/>
  <c r="L28" i="196"/>
  <c r="L27" i="196"/>
  <c r="L22" i="196"/>
  <c r="K36" i="196"/>
  <c r="K34" i="196"/>
  <c r="K31" i="196"/>
  <c r="K30" i="196"/>
  <c r="K28" i="196"/>
  <c r="K27" i="196"/>
  <c r="K22" i="196"/>
  <c r="C36" i="196"/>
  <c r="C34" i="196"/>
  <c r="C32" i="196"/>
  <c r="C28" i="196"/>
  <c r="C27" i="196"/>
  <c r="C22" i="196"/>
  <c r="J85" i="337" l="1"/>
  <c r="K85" i="337"/>
  <c r="J84" i="337"/>
  <c r="K84" i="337" s="1"/>
  <c r="J83" i="337"/>
  <c r="K83" i="337"/>
  <c r="J82" i="337"/>
  <c r="K82" i="337" s="1"/>
  <c r="M81" i="337"/>
  <c r="L81" i="337"/>
  <c r="L55" i="337"/>
  <c r="L53" i="337" s="1"/>
  <c r="I81" i="337"/>
  <c r="H81" i="337"/>
  <c r="H55" i="337"/>
  <c r="H53" i="337" s="1"/>
  <c r="G81" i="337"/>
  <c r="F81" i="337"/>
  <c r="F55" i="337"/>
  <c r="E81" i="337"/>
  <c r="D81" i="337"/>
  <c r="D55" i="337"/>
  <c r="C81" i="337"/>
  <c r="J77" i="337"/>
  <c r="J76" i="337"/>
  <c r="M75" i="337"/>
  <c r="L75" i="337"/>
  <c r="I75" i="337"/>
  <c r="H75" i="337"/>
  <c r="G75" i="337"/>
  <c r="F75" i="337"/>
  <c r="E75" i="337"/>
  <c r="D75" i="337"/>
  <c r="C75" i="337"/>
  <c r="J73" i="337"/>
  <c r="K73" i="337" s="1"/>
  <c r="J72" i="337"/>
  <c r="K72" i="337" s="1"/>
  <c r="M71" i="337"/>
  <c r="L71" i="337"/>
  <c r="I71" i="337"/>
  <c r="H71" i="337"/>
  <c r="G71" i="337"/>
  <c r="F71" i="337"/>
  <c r="E71" i="337"/>
  <c r="D71" i="337"/>
  <c r="C71" i="337"/>
  <c r="J69" i="337"/>
  <c r="K69" i="337"/>
  <c r="J68" i="337"/>
  <c r="M67" i="337"/>
  <c r="L67" i="337"/>
  <c r="I67" i="337"/>
  <c r="H67" i="337"/>
  <c r="G67" i="337"/>
  <c r="F67" i="337"/>
  <c r="E67" i="337"/>
  <c r="D67" i="337"/>
  <c r="C67" i="337"/>
  <c r="K65" i="337"/>
  <c r="J65" i="337"/>
  <c r="J64" i="337"/>
  <c r="K64" i="337" s="1"/>
  <c r="K63" i="337"/>
  <c r="J63" i="337"/>
  <c r="J62" i="337"/>
  <c r="K62" i="337" s="1"/>
  <c r="K61" i="337"/>
  <c r="J61" i="337"/>
  <c r="J60" i="337"/>
  <c r="K60" i="337" s="1"/>
  <c r="K59" i="337"/>
  <c r="J59" i="337"/>
  <c r="J58" i="337"/>
  <c r="K58" i="337" s="1"/>
  <c r="K57" i="337"/>
  <c r="J57" i="337"/>
  <c r="J56" i="337"/>
  <c r="K56" i="337" s="1"/>
  <c r="M55" i="337"/>
  <c r="M53" i="337" s="1"/>
  <c r="I55" i="337"/>
  <c r="I53" i="337"/>
  <c r="G55" i="337"/>
  <c r="G53" i="337" s="1"/>
  <c r="E55" i="337"/>
  <c r="E53" i="337"/>
  <c r="C55" i="337"/>
  <c r="C53" i="337" s="1"/>
  <c r="J54" i="337"/>
  <c r="K54" i="337"/>
  <c r="J51" i="337"/>
  <c r="K51" i="337" s="1"/>
  <c r="K50" i="337"/>
  <c r="K49" i="337" s="1"/>
  <c r="J50" i="337"/>
  <c r="M49" i="337"/>
  <c r="L49" i="337"/>
  <c r="J49" i="337"/>
  <c r="I49" i="337"/>
  <c r="H49" i="337"/>
  <c r="G49" i="337"/>
  <c r="F49" i="337"/>
  <c r="E49" i="337"/>
  <c r="D49" i="337"/>
  <c r="C49" i="337"/>
  <c r="J47" i="337"/>
  <c r="K47" i="337" s="1"/>
  <c r="K45" i="337" s="1"/>
  <c r="J46" i="337"/>
  <c r="K46" i="337"/>
  <c r="M45" i="337"/>
  <c r="L45" i="337"/>
  <c r="I45" i="337"/>
  <c r="H45" i="337"/>
  <c r="G45" i="337"/>
  <c r="F45" i="337"/>
  <c r="E45" i="337"/>
  <c r="D45" i="337"/>
  <c r="C45" i="337"/>
  <c r="K43" i="337"/>
  <c r="J43" i="337"/>
  <c r="J42" i="337"/>
  <c r="K42" i="337" s="1"/>
  <c r="K41" i="337"/>
  <c r="J41" i="337"/>
  <c r="J40" i="337"/>
  <c r="K40" i="337" s="1"/>
  <c r="K39" i="337"/>
  <c r="J39" i="337"/>
  <c r="J38" i="337"/>
  <c r="K38" i="337" s="1"/>
  <c r="K37" i="337"/>
  <c r="J37" i="337"/>
  <c r="J36" i="337"/>
  <c r="K36" i="337" s="1"/>
  <c r="K35" i="337"/>
  <c r="J35" i="337"/>
  <c r="J34" i="337"/>
  <c r="K34" i="337" s="1"/>
  <c r="K33" i="337"/>
  <c r="J33" i="337"/>
  <c r="J32" i="337"/>
  <c r="K32" i="337" s="1"/>
  <c r="K31" i="337"/>
  <c r="J31" i="337"/>
  <c r="J30" i="337"/>
  <c r="K30" i="337" s="1"/>
  <c r="M29" i="337"/>
  <c r="L29" i="337"/>
  <c r="I29" i="337"/>
  <c r="H29" i="337"/>
  <c r="G29" i="337"/>
  <c r="F29" i="337"/>
  <c r="E29" i="337"/>
  <c r="J29" i="337"/>
  <c r="K29" i="337" s="1"/>
  <c r="D29" i="337"/>
  <c r="C29" i="337"/>
  <c r="J28" i="337"/>
  <c r="K28" i="337" s="1"/>
  <c r="J27" i="337"/>
  <c r="K27" i="337"/>
  <c r="J26" i="337"/>
  <c r="K26" i="337" s="1"/>
  <c r="J25" i="337"/>
  <c r="K25" i="337"/>
  <c r="J24" i="337"/>
  <c r="K24" i="337" s="1"/>
  <c r="M23" i="337"/>
  <c r="L23" i="337"/>
  <c r="I23" i="337"/>
  <c r="H23" i="337"/>
  <c r="G23" i="337"/>
  <c r="F23" i="337"/>
  <c r="J23" i="337"/>
  <c r="K23" i="337" s="1"/>
  <c r="E23" i="337"/>
  <c r="D23" i="337"/>
  <c r="C23" i="337"/>
  <c r="K22" i="337"/>
  <c r="J22" i="337"/>
  <c r="J21" i="337"/>
  <c r="K21" i="337" s="1"/>
  <c r="M20" i="337"/>
  <c r="L20" i="337"/>
  <c r="I20" i="337"/>
  <c r="H20" i="337"/>
  <c r="G20" i="337"/>
  <c r="J20" i="337" s="1"/>
  <c r="F20" i="337"/>
  <c r="E20" i="337"/>
  <c r="D20" i="337"/>
  <c r="C20" i="337"/>
  <c r="J19" i="337"/>
  <c r="K19" i="337"/>
  <c r="J18" i="337"/>
  <c r="K18" i="337"/>
  <c r="J17" i="337"/>
  <c r="K17" i="337"/>
  <c r="M16" i="337"/>
  <c r="L16" i="337"/>
  <c r="I16" i="337"/>
  <c r="H16" i="337"/>
  <c r="G16" i="337"/>
  <c r="F16" i="337"/>
  <c r="E16" i="337"/>
  <c r="D16" i="337"/>
  <c r="C16" i="337"/>
  <c r="J15" i="337"/>
  <c r="K15" i="337" s="1"/>
  <c r="K14" i="337"/>
  <c r="J14" i="337"/>
  <c r="J13" i="337"/>
  <c r="K13" i="337" s="1"/>
  <c r="M12" i="337"/>
  <c r="L12" i="337"/>
  <c r="I12" i="337"/>
  <c r="H12" i="337"/>
  <c r="J12" i="337" s="1"/>
  <c r="G12" i="337"/>
  <c r="F12" i="337"/>
  <c r="E12" i="337"/>
  <c r="D12" i="337"/>
  <c r="C12" i="337"/>
  <c r="J11" i="337"/>
  <c r="K11" i="337"/>
  <c r="J10" i="337"/>
  <c r="K10" i="337"/>
  <c r="M9" i="337"/>
  <c r="M8" i="337" s="1"/>
  <c r="M79" i="337" s="1"/>
  <c r="L9" i="337"/>
  <c r="I9" i="337"/>
  <c r="H9" i="337"/>
  <c r="H8" i="337"/>
  <c r="G9" i="337"/>
  <c r="F9" i="337"/>
  <c r="F8" i="337"/>
  <c r="E9" i="337"/>
  <c r="D9" i="337"/>
  <c r="C9" i="337"/>
  <c r="C8" i="337" s="1"/>
  <c r="G8" i="337"/>
  <c r="G79" i="337" s="1"/>
  <c r="B2" i="337"/>
  <c r="A2" i="337"/>
  <c r="J85" i="338"/>
  <c r="K85" i="338"/>
  <c r="J84" i="338"/>
  <c r="K84" i="338" s="1"/>
  <c r="J83" i="338"/>
  <c r="K83" i="338"/>
  <c r="J82" i="338"/>
  <c r="K82" i="338" s="1"/>
  <c r="M81" i="338"/>
  <c r="L81" i="338"/>
  <c r="L55" i="338"/>
  <c r="L53" i="338" s="1"/>
  <c r="I81" i="338"/>
  <c r="H81" i="338"/>
  <c r="H55" i="338"/>
  <c r="H53" i="338" s="1"/>
  <c r="G81" i="338"/>
  <c r="F81" i="338"/>
  <c r="F55" i="338"/>
  <c r="F53" i="338" s="1"/>
  <c r="E81" i="338"/>
  <c r="D81" i="338"/>
  <c r="D55" i="338"/>
  <c r="D53" i="338" s="1"/>
  <c r="C81" i="338"/>
  <c r="C55" i="338" s="1"/>
  <c r="C53" i="338" s="1"/>
  <c r="J77" i="338"/>
  <c r="K77" i="338"/>
  <c r="J76" i="338"/>
  <c r="M75" i="338"/>
  <c r="L75" i="338"/>
  <c r="I75" i="338"/>
  <c r="H75" i="338"/>
  <c r="G75" i="338"/>
  <c r="F75" i="338"/>
  <c r="F75" i="195" s="1"/>
  <c r="E75" i="338"/>
  <c r="D75" i="338"/>
  <c r="C75" i="338"/>
  <c r="K73" i="338"/>
  <c r="J73" i="338"/>
  <c r="J71" i="338" s="1"/>
  <c r="J72" i="338"/>
  <c r="K72" i="338" s="1"/>
  <c r="K71" i="338" s="1"/>
  <c r="M71" i="338"/>
  <c r="M71" i="195" s="1"/>
  <c r="L71" i="338"/>
  <c r="I71" i="338"/>
  <c r="I71" i="195" s="1"/>
  <c r="H71" i="338"/>
  <c r="G71" i="338"/>
  <c r="F71" i="338"/>
  <c r="E71" i="338"/>
  <c r="E71" i="195" s="1"/>
  <c r="D71" i="338"/>
  <c r="C71" i="338"/>
  <c r="J69" i="338"/>
  <c r="K69" i="338"/>
  <c r="J68" i="338"/>
  <c r="K68" i="338" s="1"/>
  <c r="M67" i="338"/>
  <c r="L67" i="338"/>
  <c r="I67" i="338"/>
  <c r="H67" i="338"/>
  <c r="G67" i="338"/>
  <c r="F67" i="338"/>
  <c r="E67" i="338"/>
  <c r="D67" i="338"/>
  <c r="C67" i="338"/>
  <c r="J65" i="338"/>
  <c r="K65" i="338" s="1"/>
  <c r="K64" i="338"/>
  <c r="J64" i="338"/>
  <c r="J63" i="338"/>
  <c r="K63" i="338" s="1"/>
  <c r="K62" i="338"/>
  <c r="J62" i="338"/>
  <c r="J61" i="338"/>
  <c r="K61" i="338" s="1"/>
  <c r="K60" i="338"/>
  <c r="J60" i="338"/>
  <c r="K59" i="338"/>
  <c r="J59" i="338"/>
  <c r="K58" i="338"/>
  <c r="J58" i="338"/>
  <c r="K57" i="338"/>
  <c r="J57" i="338"/>
  <c r="K56" i="338"/>
  <c r="J56" i="338"/>
  <c r="M55" i="338"/>
  <c r="M53" i="338" s="1"/>
  <c r="I55" i="338"/>
  <c r="I53" i="338" s="1"/>
  <c r="G55" i="338"/>
  <c r="G53" i="338" s="1"/>
  <c r="E55" i="338"/>
  <c r="J54" i="338"/>
  <c r="K51" i="338"/>
  <c r="J51" i="338"/>
  <c r="K50" i="338"/>
  <c r="J50" i="338"/>
  <c r="M49" i="338"/>
  <c r="L49" i="338"/>
  <c r="K49" i="338"/>
  <c r="J49" i="338"/>
  <c r="I49" i="338"/>
  <c r="H49" i="338"/>
  <c r="G49" i="338"/>
  <c r="F49" i="338"/>
  <c r="E49" i="338"/>
  <c r="D49" i="338"/>
  <c r="C49" i="338"/>
  <c r="J47" i="338"/>
  <c r="K47" i="338" s="1"/>
  <c r="K45" i="338" s="1"/>
  <c r="J46" i="338"/>
  <c r="K46" i="338"/>
  <c r="M45" i="338"/>
  <c r="L45" i="338"/>
  <c r="I45" i="338"/>
  <c r="I45" i="195" s="1"/>
  <c r="H45" i="338"/>
  <c r="G45" i="338"/>
  <c r="F45" i="338"/>
  <c r="E45" i="338"/>
  <c r="E45" i="195" s="1"/>
  <c r="D45" i="338"/>
  <c r="C45" i="338"/>
  <c r="J43" i="338"/>
  <c r="K43" i="338" s="1"/>
  <c r="K42" i="338"/>
  <c r="J42" i="338"/>
  <c r="J41" i="338"/>
  <c r="K41" i="338" s="1"/>
  <c r="K40" i="338"/>
  <c r="J40" i="338"/>
  <c r="J39" i="338"/>
  <c r="K39" i="338" s="1"/>
  <c r="K38" i="338"/>
  <c r="J38" i="338"/>
  <c r="J37" i="338"/>
  <c r="K37" i="338" s="1"/>
  <c r="K36" i="338"/>
  <c r="J36" i="338"/>
  <c r="J35" i="338"/>
  <c r="K35" i="338" s="1"/>
  <c r="K34" i="338"/>
  <c r="J34" i="338"/>
  <c r="J33" i="338"/>
  <c r="K33" i="338" s="1"/>
  <c r="K32" i="338"/>
  <c r="J32" i="338"/>
  <c r="J31" i="338"/>
  <c r="K31" i="338" s="1"/>
  <c r="K30" i="338"/>
  <c r="J30" i="338"/>
  <c r="M29" i="338"/>
  <c r="L29" i="338"/>
  <c r="L29" i="195" s="1"/>
  <c r="I29" i="338"/>
  <c r="H29" i="338"/>
  <c r="G29" i="338"/>
  <c r="F29" i="338"/>
  <c r="F29" i="195" s="1"/>
  <c r="E29" i="338"/>
  <c r="J29" i="338" s="1"/>
  <c r="D29" i="338"/>
  <c r="C29" i="338"/>
  <c r="K29" i="338" s="1"/>
  <c r="J28" i="338"/>
  <c r="K28" i="338"/>
  <c r="J27" i="338"/>
  <c r="K27" i="338" s="1"/>
  <c r="J26" i="338"/>
  <c r="K26" i="338"/>
  <c r="J25" i="338"/>
  <c r="K25" i="338" s="1"/>
  <c r="J24" i="338"/>
  <c r="K24" i="338"/>
  <c r="M23" i="338"/>
  <c r="M23" i="195" s="1"/>
  <c r="L23" i="338"/>
  <c r="I23" i="338"/>
  <c r="H23" i="338"/>
  <c r="G23" i="338"/>
  <c r="G23" i="195" s="1"/>
  <c r="F23" i="338"/>
  <c r="E23" i="338"/>
  <c r="J23" i="338" s="1"/>
  <c r="D23" i="338"/>
  <c r="C23" i="338"/>
  <c r="J22" i="338"/>
  <c r="K22" i="338" s="1"/>
  <c r="K21" i="338"/>
  <c r="J21" i="338"/>
  <c r="M20" i="338"/>
  <c r="L20" i="338"/>
  <c r="I20" i="338"/>
  <c r="I20" i="195" s="1"/>
  <c r="H20" i="338"/>
  <c r="G20" i="338"/>
  <c r="F20" i="338"/>
  <c r="E20" i="338"/>
  <c r="J20" i="338" s="1"/>
  <c r="K20" i="338" s="1"/>
  <c r="D20" i="338"/>
  <c r="C20" i="338"/>
  <c r="J19" i="338"/>
  <c r="K19" i="338" s="1"/>
  <c r="J18" i="338"/>
  <c r="K18" i="338"/>
  <c r="J17" i="338"/>
  <c r="K17" i="338" s="1"/>
  <c r="M16" i="338"/>
  <c r="L16" i="338"/>
  <c r="I16" i="338"/>
  <c r="H16" i="338"/>
  <c r="G16" i="338"/>
  <c r="F16" i="338"/>
  <c r="E16" i="338"/>
  <c r="D16" i="338"/>
  <c r="C16" i="338"/>
  <c r="K15" i="338"/>
  <c r="J15" i="338"/>
  <c r="J14" i="338"/>
  <c r="K14" i="338" s="1"/>
  <c r="K13" i="338"/>
  <c r="J13" i="338"/>
  <c r="M12" i="338"/>
  <c r="L12" i="338"/>
  <c r="I12" i="338"/>
  <c r="H12" i="338"/>
  <c r="G12" i="338"/>
  <c r="F12" i="338"/>
  <c r="E12" i="338"/>
  <c r="J12" i="338" s="1"/>
  <c r="D12" i="338"/>
  <c r="C12" i="338"/>
  <c r="J11" i="338"/>
  <c r="K11" i="338" s="1"/>
  <c r="J10" i="338"/>
  <c r="K10" i="338"/>
  <c r="M9" i="338"/>
  <c r="M8" i="338" s="1"/>
  <c r="L9" i="338"/>
  <c r="I9" i="338"/>
  <c r="H9" i="338"/>
  <c r="H8" i="338" s="1"/>
  <c r="H79" i="338" s="1"/>
  <c r="G9" i="338"/>
  <c r="F9" i="338"/>
  <c r="F8" i="338" s="1"/>
  <c r="F79" i="338" s="1"/>
  <c r="E9" i="338"/>
  <c r="D9" i="338"/>
  <c r="C9" i="338"/>
  <c r="C8" i="338"/>
  <c r="C79" i="338" s="1"/>
  <c r="B2" i="338"/>
  <c r="A2" i="338"/>
  <c r="K94" i="195"/>
  <c r="J94" i="195"/>
  <c r="K93" i="195"/>
  <c r="J93" i="195"/>
  <c r="K92" i="195"/>
  <c r="J92" i="195"/>
  <c r="K90" i="195"/>
  <c r="J90" i="195"/>
  <c r="K89" i="195"/>
  <c r="J89" i="195"/>
  <c r="K88" i="195"/>
  <c r="J88" i="195"/>
  <c r="K87" i="195"/>
  <c r="J87" i="195"/>
  <c r="J81" i="337"/>
  <c r="K81" i="337" s="1"/>
  <c r="K12" i="337"/>
  <c r="K77" i="337"/>
  <c r="J9" i="337"/>
  <c r="K9" i="337" s="1"/>
  <c r="J81" i="338"/>
  <c r="K81" i="338"/>
  <c r="P23" i="278"/>
  <c r="O23" i="278"/>
  <c r="N23" i="278"/>
  <c r="M23" i="278"/>
  <c r="L23" i="278"/>
  <c r="K23" i="278"/>
  <c r="J23" i="278"/>
  <c r="I23" i="278"/>
  <c r="H23" i="278"/>
  <c r="G23" i="278"/>
  <c r="F23" i="278"/>
  <c r="E23" i="278"/>
  <c r="D23" i="278"/>
  <c r="C23" i="278"/>
  <c r="B23" i="278"/>
  <c r="G39" i="191"/>
  <c r="F39" i="191"/>
  <c r="G16" i="191"/>
  <c r="I8" i="193"/>
  <c r="J8" i="193"/>
  <c r="I9" i="193"/>
  <c r="I10" i="193"/>
  <c r="J10" i="193" s="1"/>
  <c r="I11" i="193"/>
  <c r="J11" i="193"/>
  <c r="I12" i="193"/>
  <c r="J12" i="193" s="1"/>
  <c r="I24" i="194"/>
  <c r="J24" i="194"/>
  <c r="L25" i="194"/>
  <c r="K25" i="194"/>
  <c r="H25" i="194"/>
  <c r="G25" i="194"/>
  <c r="F25" i="194"/>
  <c r="E25" i="194"/>
  <c r="D38" i="280" s="1"/>
  <c r="D25" i="194"/>
  <c r="C25" i="194"/>
  <c r="C20" i="193"/>
  <c r="C41" i="193" s="1"/>
  <c r="C30" i="193"/>
  <c r="C39" i="193"/>
  <c r="C43" i="193"/>
  <c r="C53" i="193"/>
  <c r="M91" i="195"/>
  <c r="M95" i="195"/>
  <c r="K91" i="195"/>
  <c r="K95" i="195" s="1"/>
  <c r="C91" i="195"/>
  <c r="C95" i="195"/>
  <c r="D91" i="195"/>
  <c r="D95" i="195" s="1"/>
  <c r="E91" i="195"/>
  <c r="E95" i="195"/>
  <c r="F91" i="195"/>
  <c r="F95" i="195" s="1"/>
  <c r="G91" i="195"/>
  <c r="G95" i="195"/>
  <c r="H91" i="195"/>
  <c r="H95" i="195" s="1"/>
  <c r="I91" i="195"/>
  <c r="I95" i="195" s="1"/>
  <c r="J91" i="195"/>
  <c r="J95" i="195"/>
  <c r="M85" i="195"/>
  <c r="L85" i="195"/>
  <c r="J85" i="195"/>
  <c r="I85" i="195"/>
  <c r="H85" i="195"/>
  <c r="G85" i="195"/>
  <c r="F85" i="195"/>
  <c r="E85" i="195"/>
  <c r="D85" i="195"/>
  <c r="C85" i="195"/>
  <c r="M84" i="195"/>
  <c r="L84" i="195"/>
  <c r="I84" i="195"/>
  <c r="H84" i="195"/>
  <c r="G84" i="195"/>
  <c r="F84" i="195"/>
  <c r="E84" i="195"/>
  <c r="D84" i="195"/>
  <c r="C84" i="195"/>
  <c r="M83" i="195"/>
  <c r="L83" i="195"/>
  <c r="I83" i="195"/>
  <c r="H83" i="195"/>
  <c r="G83" i="195"/>
  <c r="F83" i="195"/>
  <c r="E83" i="195"/>
  <c r="D83" i="195"/>
  <c r="C83" i="195"/>
  <c r="M82" i="195"/>
  <c r="L82" i="195"/>
  <c r="I82" i="195"/>
  <c r="H82" i="195"/>
  <c r="G82" i="195"/>
  <c r="F82" i="195"/>
  <c r="E82" i="195"/>
  <c r="D82" i="195"/>
  <c r="C82" i="195"/>
  <c r="M65" i="195"/>
  <c r="L65" i="195"/>
  <c r="M64" i="195"/>
  <c r="L64" i="195"/>
  <c r="M63" i="195"/>
  <c r="L63" i="195"/>
  <c r="M62" i="195"/>
  <c r="L62" i="195"/>
  <c r="M61" i="195"/>
  <c r="L61" i="195"/>
  <c r="M60" i="195"/>
  <c r="L60" i="195"/>
  <c r="M59" i="195"/>
  <c r="L59" i="195"/>
  <c r="M56" i="195"/>
  <c r="L56" i="195"/>
  <c r="M54" i="195"/>
  <c r="L54" i="195"/>
  <c r="M51" i="195"/>
  <c r="L51" i="195"/>
  <c r="M50" i="195"/>
  <c r="L50" i="195"/>
  <c r="M47" i="195"/>
  <c r="L47" i="195"/>
  <c r="M46" i="195"/>
  <c r="L46" i="195"/>
  <c r="M43" i="195"/>
  <c r="L43" i="195"/>
  <c r="M42" i="195"/>
  <c r="L42" i="195"/>
  <c r="K33" i="280"/>
  <c r="M41" i="195"/>
  <c r="L41" i="195"/>
  <c r="M40" i="195"/>
  <c r="L40" i="195"/>
  <c r="K31" i="280" s="1"/>
  <c r="M39" i="195"/>
  <c r="L39" i="195"/>
  <c r="K30" i="280"/>
  <c r="M38" i="195"/>
  <c r="L38" i="195"/>
  <c r="M37" i="195"/>
  <c r="L37" i="195"/>
  <c r="M36" i="195"/>
  <c r="L36" i="195"/>
  <c r="M35" i="195"/>
  <c r="L35" i="195"/>
  <c r="M34" i="195"/>
  <c r="L34" i="195"/>
  <c r="M33" i="195"/>
  <c r="L33" i="195"/>
  <c r="M32" i="195"/>
  <c r="L32" i="195"/>
  <c r="K29" i="280" s="1"/>
  <c r="M31" i="195"/>
  <c r="L31" i="195"/>
  <c r="M30" i="195"/>
  <c r="L30" i="195"/>
  <c r="M27" i="195"/>
  <c r="L27" i="195"/>
  <c r="M26" i="195"/>
  <c r="L26" i="195"/>
  <c r="M25" i="195"/>
  <c r="L25" i="195"/>
  <c r="M24" i="195"/>
  <c r="L24" i="195"/>
  <c r="M22" i="195"/>
  <c r="L22" i="195"/>
  <c r="M21" i="195"/>
  <c r="L21" i="195"/>
  <c r="M19" i="195"/>
  <c r="L19" i="195"/>
  <c r="M18" i="195"/>
  <c r="L18" i="195"/>
  <c r="M17" i="195"/>
  <c r="L17" i="195"/>
  <c r="M15" i="195"/>
  <c r="L15" i="195"/>
  <c r="M14" i="195"/>
  <c r="L14" i="195"/>
  <c r="M13" i="195"/>
  <c r="L13" i="195"/>
  <c r="M11" i="195"/>
  <c r="L11" i="195"/>
  <c r="M10" i="195"/>
  <c r="L10" i="195"/>
  <c r="J85" i="339"/>
  <c r="K85" i="339" s="1"/>
  <c r="K85" i="195"/>
  <c r="J84" i="339"/>
  <c r="J84" i="195" s="1"/>
  <c r="K84" i="339"/>
  <c r="K84" i="195"/>
  <c r="J83" i="339"/>
  <c r="K83" i="339"/>
  <c r="K83" i="195"/>
  <c r="J82" i="339"/>
  <c r="M81" i="339"/>
  <c r="M81" i="195"/>
  <c r="L81" i="339"/>
  <c r="L81" i="195" s="1"/>
  <c r="I81" i="339"/>
  <c r="I81" i="195"/>
  <c r="H81" i="339"/>
  <c r="H55" i="339" s="1"/>
  <c r="G81" i="339"/>
  <c r="G81" i="195"/>
  <c r="F81" i="339"/>
  <c r="F55" i="339" s="1"/>
  <c r="F53" i="339" s="1"/>
  <c r="F53" i="195" s="1"/>
  <c r="E81" i="339"/>
  <c r="E81" i="195"/>
  <c r="D81" i="339"/>
  <c r="D81" i="195" s="1"/>
  <c r="C81" i="339"/>
  <c r="C81" i="195"/>
  <c r="J77" i="339"/>
  <c r="J75" i="339" s="1"/>
  <c r="K77" i="339"/>
  <c r="J76" i="339"/>
  <c r="M75" i="339"/>
  <c r="L75" i="339"/>
  <c r="L75" i="195"/>
  <c r="I75" i="339"/>
  <c r="I75" i="195"/>
  <c r="H75" i="339"/>
  <c r="H75" i="195"/>
  <c r="G75" i="339"/>
  <c r="G75" i="195"/>
  <c r="F75" i="339"/>
  <c r="E75" i="339"/>
  <c r="E75" i="195"/>
  <c r="D75" i="339"/>
  <c r="D75" i="195"/>
  <c r="C75" i="339"/>
  <c r="C75" i="195"/>
  <c r="J73" i="339"/>
  <c r="K73" i="339"/>
  <c r="J72" i="339"/>
  <c r="K72" i="339"/>
  <c r="K71" i="339" s="1"/>
  <c r="K71" i="195" s="1"/>
  <c r="M71" i="339"/>
  <c r="L71" i="339"/>
  <c r="L71" i="195"/>
  <c r="I71" i="339"/>
  <c r="H71" i="339"/>
  <c r="H71" i="195"/>
  <c r="G71" i="339"/>
  <c r="G71" i="195"/>
  <c r="F71" i="339"/>
  <c r="F71" i="195"/>
  <c r="E71" i="339"/>
  <c r="D71" i="339"/>
  <c r="D71" i="195"/>
  <c r="C71" i="339"/>
  <c r="C71" i="195"/>
  <c r="J69" i="339"/>
  <c r="J68" i="339"/>
  <c r="K68" i="339" s="1"/>
  <c r="M67" i="339"/>
  <c r="M67" i="195" s="1"/>
  <c r="L67" i="339"/>
  <c r="L67" i="195" s="1"/>
  <c r="I67" i="339"/>
  <c r="I67" i="195" s="1"/>
  <c r="H67" i="339"/>
  <c r="H67" i="195" s="1"/>
  <c r="G67" i="339"/>
  <c r="G67" i="195" s="1"/>
  <c r="F67" i="339"/>
  <c r="F67" i="195" s="1"/>
  <c r="E67" i="339"/>
  <c r="E67" i="195" s="1"/>
  <c r="D67" i="339"/>
  <c r="D67" i="195" s="1"/>
  <c r="C67" i="339"/>
  <c r="C67" i="195" s="1"/>
  <c r="J65" i="339"/>
  <c r="K65" i="339" s="1"/>
  <c r="J64" i="339"/>
  <c r="K64" i="339" s="1"/>
  <c r="J63" i="339"/>
  <c r="K63" i="339" s="1"/>
  <c r="K62" i="339"/>
  <c r="J62" i="339"/>
  <c r="J61" i="339"/>
  <c r="K61" i="339" s="1"/>
  <c r="K60" i="339"/>
  <c r="J60" i="339"/>
  <c r="J59" i="339"/>
  <c r="K59" i="339" s="1"/>
  <c r="J58" i="339"/>
  <c r="K58" i="339"/>
  <c r="J57" i="339"/>
  <c r="K57" i="339" s="1"/>
  <c r="J56" i="339"/>
  <c r="K56" i="339"/>
  <c r="D55" i="339"/>
  <c r="J54" i="339"/>
  <c r="K54" i="339"/>
  <c r="D53" i="339"/>
  <c r="D53" i="195" s="1"/>
  <c r="J51" i="339"/>
  <c r="K51" i="339"/>
  <c r="J50" i="339"/>
  <c r="M49" i="339"/>
  <c r="M49" i="195" s="1"/>
  <c r="L49" i="339"/>
  <c r="L49" i="195"/>
  <c r="I49" i="339"/>
  <c r="I49" i="195" s="1"/>
  <c r="H49" i="339"/>
  <c r="H49" i="195"/>
  <c r="G49" i="339"/>
  <c r="G49" i="195" s="1"/>
  <c r="F49" i="339"/>
  <c r="F49" i="195"/>
  <c r="E49" i="339"/>
  <c r="E49" i="195" s="1"/>
  <c r="D49" i="339"/>
  <c r="D49" i="195"/>
  <c r="C49" i="339"/>
  <c r="C49" i="195" s="1"/>
  <c r="J47" i="339"/>
  <c r="J46" i="339"/>
  <c r="K46" i="339"/>
  <c r="M45" i="339"/>
  <c r="M45" i="195"/>
  <c r="L45" i="339"/>
  <c r="L45" i="195"/>
  <c r="I45" i="339"/>
  <c r="H45" i="339"/>
  <c r="H45" i="195"/>
  <c r="G45" i="339"/>
  <c r="G45" i="195"/>
  <c r="F45" i="339"/>
  <c r="F45" i="195"/>
  <c r="E45" i="339"/>
  <c r="D45" i="339"/>
  <c r="D45" i="195"/>
  <c r="C45" i="339"/>
  <c r="C45" i="195"/>
  <c r="J43" i="339"/>
  <c r="K43" i="339"/>
  <c r="J42" i="339"/>
  <c r="K42" i="339"/>
  <c r="J41" i="339"/>
  <c r="K41" i="339"/>
  <c r="J40" i="339"/>
  <c r="K40" i="339"/>
  <c r="J39" i="339"/>
  <c r="K39" i="339"/>
  <c r="J38" i="339"/>
  <c r="K38" i="339"/>
  <c r="J37" i="339"/>
  <c r="K37" i="339"/>
  <c r="J36" i="339"/>
  <c r="K36" i="339"/>
  <c r="J35" i="339"/>
  <c r="K35" i="339"/>
  <c r="J34" i="339"/>
  <c r="K34" i="339"/>
  <c r="J33" i="339"/>
  <c r="K33" i="339"/>
  <c r="J32" i="339"/>
  <c r="K32" i="339"/>
  <c r="J31" i="339"/>
  <c r="K31" i="339"/>
  <c r="J30" i="339"/>
  <c r="K30" i="339"/>
  <c r="M29" i="339"/>
  <c r="M29" i="195"/>
  <c r="L29" i="339"/>
  <c r="I29" i="339"/>
  <c r="I29" i="195"/>
  <c r="H29" i="339"/>
  <c r="H29" i="195"/>
  <c r="G29" i="339"/>
  <c r="G29" i="195"/>
  <c r="F29" i="339"/>
  <c r="E29" i="339"/>
  <c r="E29" i="195" s="1"/>
  <c r="D29" i="339"/>
  <c r="D29" i="195" s="1"/>
  <c r="C29" i="339"/>
  <c r="C29" i="195" s="1"/>
  <c r="J28" i="339"/>
  <c r="K28" i="339" s="1"/>
  <c r="J27" i="339"/>
  <c r="K27" i="339" s="1"/>
  <c r="J26" i="339"/>
  <c r="K26" i="339" s="1"/>
  <c r="J25" i="339"/>
  <c r="K25" i="339"/>
  <c r="J24" i="339"/>
  <c r="K24" i="339" s="1"/>
  <c r="M23" i="339"/>
  <c r="L23" i="339"/>
  <c r="L23" i="195" s="1"/>
  <c r="I23" i="339"/>
  <c r="I23" i="195"/>
  <c r="H23" i="339"/>
  <c r="H23" i="195" s="1"/>
  <c r="G23" i="339"/>
  <c r="F23" i="339"/>
  <c r="F23" i="195" s="1"/>
  <c r="E23" i="339"/>
  <c r="E23" i="195"/>
  <c r="D23" i="339"/>
  <c r="D23" i="195" s="1"/>
  <c r="C23" i="339"/>
  <c r="J22" i="339"/>
  <c r="K22" i="339"/>
  <c r="J21" i="339"/>
  <c r="K21" i="339" s="1"/>
  <c r="M20" i="339"/>
  <c r="M20" i="195"/>
  <c r="L20" i="339"/>
  <c r="L20" i="195"/>
  <c r="I20" i="339"/>
  <c r="H20" i="339"/>
  <c r="H20" i="195"/>
  <c r="G20" i="339"/>
  <c r="G20" i="195"/>
  <c r="F20" i="339"/>
  <c r="F20" i="195" s="1"/>
  <c r="E20" i="339"/>
  <c r="E20" i="195" s="1"/>
  <c r="D20" i="339"/>
  <c r="C20" i="339"/>
  <c r="C20" i="195"/>
  <c r="J19" i="339"/>
  <c r="K19" i="339"/>
  <c r="J18" i="339"/>
  <c r="K18" i="339"/>
  <c r="J17" i="339"/>
  <c r="K17" i="339"/>
  <c r="M16" i="339"/>
  <c r="L16" i="339"/>
  <c r="L16" i="195" s="1"/>
  <c r="I16" i="339"/>
  <c r="I16" i="195" s="1"/>
  <c r="H16" i="339"/>
  <c r="H16" i="195"/>
  <c r="G16" i="339"/>
  <c r="G16" i="195" s="1"/>
  <c r="F16" i="339"/>
  <c r="E16" i="339"/>
  <c r="E16" i="195" s="1"/>
  <c r="D16" i="339"/>
  <c r="D16" i="195"/>
  <c r="C16" i="339"/>
  <c r="C16" i="195" s="1"/>
  <c r="J15" i="339"/>
  <c r="K15" i="339"/>
  <c r="J14" i="339"/>
  <c r="K14" i="339"/>
  <c r="J13" i="339"/>
  <c r="K13" i="339" s="1"/>
  <c r="M12" i="339"/>
  <c r="M12" i="195"/>
  <c r="L12" i="339"/>
  <c r="I12" i="339"/>
  <c r="I12" i="195"/>
  <c r="H12" i="339"/>
  <c r="H12" i="195" s="1"/>
  <c r="G12" i="339"/>
  <c r="G12" i="195" s="1"/>
  <c r="F12" i="339"/>
  <c r="F12" i="195"/>
  <c r="E12" i="339"/>
  <c r="J12" i="339" s="1"/>
  <c r="J12" i="195" s="1"/>
  <c r="D12" i="339"/>
  <c r="D12" i="195" s="1"/>
  <c r="C12" i="339"/>
  <c r="J11" i="339"/>
  <c r="K11" i="339"/>
  <c r="J10" i="339"/>
  <c r="K10" i="339" s="1"/>
  <c r="M9" i="339"/>
  <c r="M9" i="195"/>
  <c r="L9" i="339"/>
  <c r="L9" i="195" s="1"/>
  <c r="I9" i="339"/>
  <c r="H9" i="339"/>
  <c r="H9" i="195"/>
  <c r="G9" i="339"/>
  <c r="G9" i="195" s="1"/>
  <c r="F9" i="339"/>
  <c r="E9" i="339"/>
  <c r="E9" i="195" s="1"/>
  <c r="D9" i="339"/>
  <c r="D9" i="195"/>
  <c r="C9" i="339"/>
  <c r="C9" i="195" s="1"/>
  <c r="C10" i="195"/>
  <c r="D10" i="195"/>
  <c r="E10" i="195"/>
  <c r="F10" i="195"/>
  <c r="G10" i="195"/>
  <c r="H10" i="195"/>
  <c r="I10" i="195"/>
  <c r="C11" i="195"/>
  <c r="D11" i="195"/>
  <c r="E11" i="195"/>
  <c r="F11" i="195"/>
  <c r="G11" i="195"/>
  <c r="H11" i="195"/>
  <c r="I11" i="195"/>
  <c r="C13" i="195"/>
  <c r="D13" i="195"/>
  <c r="E13" i="195"/>
  <c r="F13" i="195"/>
  <c r="G13" i="195"/>
  <c r="H13" i="195"/>
  <c r="I13" i="195"/>
  <c r="C14" i="195"/>
  <c r="D14" i="195"/>
  <c r="E14" i="195"/>
  <c r="F14" i="195"/>
  <c r="G14" i="195"/>
  <c r="H14" i="195"/>
  <c r="I14" i="195"/>
  <c r="C15" i="195"/>
  <c r="D15" i="195"/>
  <c r="E15" i="195"/>
  <c r="F15" i="195"/>
  <c r="G15" i="195"/>
  <c r="H15" i="195"/>
  <c r="I15" i="195"/>
  <c r="C17" i="195"/>
  <c r="D17" i="195"/>
  <c r="E17" i="195"/>
  <c r="F17" i="195"/>
  <c r="G17" i="195"/>
  <c r="H17" i="195"/>
  <c r="I17" i="195"/>
  <c r="C18" i="195"/>
  <c r="D18" i="195"/>
  <c r="E18" i="195"/>
  <c r="F18" i="195"/>
  <c r="G18" i="195"/>
  <c r="H18" i="195"/>
  <c r="I18" i="195"/>
  <c r="C19" i="195"/>
  <c r="D19" i="195"/>
  <c r="E19" i="195"/>
  <c r="F19" i="195"/>
  <c r="G19" i="195"/>
  <c r="H19" i="195"/>
  <c r="I19" i="195"/>
  <c r="C21" i="195"/>
  <c r="D21" i="195"/>
  <c r="E21" i="195"/>
  <c r="F21" i="195"/>
  <c r="G21" i="195"/>
  <c r="H21" i="195"/>
  <c r="I21" i="195"/>
  <c r="C22" i="195"/>
  <c r="D22" i="195"/>
  <c r="E22" i="195"/>
  <c r="F22" i="195"/>
  <c r="G22" i="195"/>
  <c r="H22" i="195"/>
  <c r="I22" i="195"/>
  <c r="C24" i="195"/>
  <c r="D24" i="195"/>
  <c r="E24" i="195"/>
  <c r="F24" i="195"/>
  <c r="G24" i="195"/>
  <c r="H24" i="195"/>
  <c r="I24" i="195"/>
  <c r="C25" i="195"/>
  <c r="D25" i="195"/>
  <c r="E25" i="195"/>
  <c r="F25" i="195"/>
  <c r="G25" i="195"/>
  <c r="H25" i="195"/>
  <c r="I25" i="195"/>
  <c r="C26" i="195"/>
  <c r="D26" i="195"/>
  <c r="E26" i="195"/>
  <c r="F26" i="195"/>
  <c r="G26" i="195"/>
  <c r="H26" i="195"/>
  <c r="I26" i="195"/>
  <c r="C27" i="195"/>
  <c r="D27" i="195"/>
  <c r="E27" i="195"/>
  <c r="F27" i="195"/>
  <c r="G27" i="195"/>
  <c r="H27" i="195"/>
  <c r="I27" i="195"/>
  <c r="C30" i="195"/>
  <c r="D30" i="195"/>
  <c r="E30" i="195"/>
  <c r="F30" i="195"/>
  <c r="G30" i="195"/>
  <c r="H30" i="195"/>
  <c r="I30" i="195"/>
  <c r="C31" i="195"/>
  <c r="D31" i="195"/>
  <c r="E31" i="195"/>
  <c r="F31" i="195"/>
  <c r="G31" i="195"/>
  <c r="H31" i="195"/>
  <c r="I31" i="195"/>
  <c r="C32" i="195"/>
  <c r="D32" i="195"/>
  <c r="C29" i="280"/>
  <c r="E32" i="195"/>
  <c r="D29" i="280" s="1"/>
  <c r="F32" i="195"/>
  <c r="G32" i="195"/>
  <c r="F29" i="280" s="1"/>
  <c r="H32" i="195"/>
  <c r="G29" i="280"/>
  <c r="I32" i="195"/>
  <c r="J32" i="195" s="1"/>
  <c r="C33" i="195"/>
  <c r="D33" i="195"/>
  <c r="E33" i="195"/>
  <c r="F33" i="195"/>
  <c r="J33" i="195" s="1"/>
  <c r="G33" i="195"/>
  <c r="H33" i="195"/>
  <c r="I33" i="195"/>
  <c r="C34" i="195"/>
  <c r="D34" i="195"/>
  <c r="E34" i="195"/>
  <c r="F34" i="195"/>
  <c r="G34" i="195"/>
  <c r="J34" i="195" s="1"/>
  <c r="K34" i="195" s="1"/>
  <c r="H34" i="195"/>
  <c r="I34" i="195"/>
  <c r="C35" i="195"/>
  <c r="D35" i="195"/>
  <c r="E35" i="195"/>
  <c r="F35" i="195"/>
  <c r="G35" i="195"/>
  <c r="H35" i="195"/>
  <c r="J35" i="195" s="1"/>
  <c r="K35" i="195" s="1"/>
  <c r="I35" i="195"/>
  <c r="C36" i="195"/>
  <c r="D36" i="195"/>
  <c r="E36" i="195"/>
  <c r="J36" i="195" s="1"/>
  <c r="K36" i="195" s="1"/>
  <c r="F36" i="195"/>
  <c r="G36" i="195"/>
  <c r="H36" i="195"/>
  <c r="I36" i="195"/>
  <c r="C37" i="195"/>
  <c r="D37" i="195"/>
  <c r="E37" i="195"/>
  <c r="F37" i="195"/>
  <c r="J37" i="195" s="1"/>
  <c r="K37" i="195" s="1"/>
  <c r="G37" i="195"/>
  <c r="H37" i="195"/>
  <c r="I37" i="195"/>
  <c r="C38" i="195"/>
  <c r="D38" i="195"/>
  <c r="E38" i="195"/>
  <c r="F38" i="195"/>
  <c r="G38" i="195"/>
  <c r="J38" i="195" s="1"/>
  <c r="H38" i="195"/>
  <c r="I38" i="195"/>
  <c r="C39" i="195"/>
  <c r="B30" i="280"/>
  <c r="B34" i="280" s="1"/>
  <c r="D39" i="195"/>
  <c r="C30" i="280" s="1"/>
  <c r="E39" i="195"/>
  <c r="D30" i="280"/>
  <c r="F39" i="195"/>
  <c r="E30" i="280" s="1"/>
  <c r="H30" i="280" s="1"/>
  <c r="G39" i="195"/>
  <c r="H39" i="195"/>
  <c r="G30" i="280" s="1"/>
  <c r="I39" i="195"/>
  <c r="C40" i="195"/>
  <c r="B31" i="280"/>
  <c r="D40" i="195"/>
  <c r="C31" i="280" s="1"/>
  <c r="E40" i="195"/>
  <c r="D31" i="280"/>
  <c r="H31" i="280" s="1"/>
  <c r="I31" i="280" s="1"/>
  <c r="F40" i="195"/>
  <c r="G40" i="195"/>
  <c r="H40" i="195"/>
  <c r="G31" i="280"/>
  <c r="I40" i="195"/>
  <c r="C41" i="195"/>
  <c r="B32" i="280" s="1"/>
  <c r="D41" i="195"/>
  <c r="C32" i="280" s="1"/>
  <c r="E41" i="195"/>
  <c r="F41" i="195"/>
  <c r="E32" i="280"/>
  <c r="G41" i="195"/>
  <c r="F32" i="280" s="1"/>
  <c r="H41" i="195"/>
  <c r="G32" i="280"/>
  <c r="I41" i="195"/>
  <c r="C42" i="195"/>
  <c r="B33" i="280" s="1"/>
  <c r="D42" i="195"/>
  <c r="C33" i="280" s="1"/>
  <c r="I33" i="280" s="1"/>
  <c r="E42" i="195"/>
  <c r="F42" i="195"/>
  <c r="G42" i="195"/>
  <c r="F33" i="280" s="1"/>
  <c r="H42" i="195"/>
  <c r="G33" i="280" s="1"/>
  <c r="I42" i="195"/>
  <c r="C43" i="195"/>
  <c r="D43" i="195"/>
  <c r="E43" i="195"/>
  <c r="F43" i="195"/>
  <c r="G43" i="195"/>
  <c r="H43" i="195"/>
  <c r="I43" i="195"/>
  <c r="C46" i="195"/>
  <c r="D46" i="195"/>
  <c r="E46" i="195"/>
  <c r="F46" i="195"/>
  <c r="G46" i="195"/>
  <c r="H46" i="195"/>
  <c r="I46" i="195"/>
  <c r="C47" i="195"/>
  <c r="D47" i="195"/>
  <c r="E47" i="195"/>
  <c r="F47" i="195"/>
  <c r="G47" i="195"/>
  <c r="H47" i="195"/>
  <c r="I47" i="195"/>
  <c r="C50" i="195"/>
  <c r="D50" i="195"/>
  <c r="E50" i="195"/>
  <c r="F50" i="195"/>
  <c r="G50" i="195"/>
  <c r="H50" i="195"/>
  <c r="I50" i="195"/>
  <c r="C51" i="195"/>
  <c r="D51" i="195"/>
  <c r="E51" i="195"/>
  <c r="F51" i="195"/>
  <c r="G51" i="195"/>
  <c r="H51" i="195"/>
  <c r="I51" i="195"/>
  <c r="C54" i="195"/>
  <c r="D54" i="195"/>
  <c r="E54" i="195"/>
  <c r="F54" i="195"/>
  <c r="G54" i="195"/>
  <c r="H54" i="195"/>
  <c r="I54" i="195"/>
  <c r="C56" i="195"/>
  <c r="D56" i="195"/>
  <c r="E56" i="195"/>
  <c r="F56" i="195"/>
  <c r="G56" i="195"/>
  <c r="H56" i="195"/>
  <c r="I56" i="195"/>
  <c r="D57" i="195"/>
  <c r="H57" i="195"/>
  <c r="I57" i="195"/>
  <c r="H58" i="195"/>
  <c r="I58" i="195"/>
  <c r="C59" i="195"/>
  <c r="H59" i="195"/>
  <c r="I59" i="195"/>
  <c r="C60" i="195"/>
  <c r="D60" i="195"/>
  <c r="E60" i="195"/>
  <c r="F60" i="195"/>
  <c r="G60" i="195"/>
  <c r="H60" i="195"/>
  <c r="I60" i="195"/>
  <c r="C61" i="195"/>
  <c r="D61" i="195"/>
  <c r="E61" i="195"/>
  <c r="F61" i="195"/>
  <c r="G61" i="195"/>
  <c r="H61" i="195"/>
  <c r="I61" i="195"/>
  <c r="C62" i="195"/>
  <c r="D62" i="195"/>
  <c r="E62" i="195"/>
  <c r="F62" i="195"/>
  <c r="G62" i="195"/>
  <c r="H62" i="195"/>
  <c r="I62" i="195"/>
  <c r="C63" i="195"/>
  <c r="D63" i="195"/>
  <c r="E63" i="195"/>
  <c r="F63" i="195"/>
  <c r="G63" i="195"/>
  <c r="H63" i="195"/>
  <c r="I63" i="195"/>
  <c r="C64" i="195"/>
  <c r="D64" i="195"/>
  <c r="E64" i="195"/>
  <c r="F64" i="195"/>
  <c r="G64" i="195"/>
  <c r="H64" i="195"/>
  <c r="I64" i="195"/>
  <c r="C65" i="195"/>
  <c r="D65" i="195"/>
  <c r="E65" i="195"/>
  <c r="F65" i="195"/>
  <c r="G65" i="195"/>
  <c r="H65" i="195"/>
  <c r="I65" i="195"/>
  <c r="B2" i="195"/>
  <c r="A2" i="195"/>
  <c r="K11" i="280"/>
  <c r="J11" i="280"/>
  <c r="G11" i="280"/>
  <c r="F11" i="280"/>
  <c r="E11" i="280"/>
  <c r="D11" i="280"/>
  <c r="H11" i="280" s="1"/>
  <c r="C11" i="280"/>
  <c r="K9" i="280"/>
  <c r="J9" i="280"/>
  <c r="G9" i="280"/>
  <c r="F9" i="280"/>
  <c r="E9" i="280"/>
  <c r="D9" i="280"/>
  <c r="C9" i="280"/>
  <c r="B11" i="280"/>
  <c r="B9" i="280"/>
  <c r="I47" i="194"/>
  <c r="J47" i="194"/>
  <c r="H24" i="196"/>
  <c r="G24" i="196"/>
  <c r="L23" i="333"/>
  <c r="K23" i="333"/>
  <c r="J23" i="333"/>
  <c r="I23" i="333"/>
  <c r="H23" i="333"/>
  <c r="M62" i="278"/>
  <c r="M63" i="278" s="1"/>
  <c r="N62" i="278" s="1"/>
  <c r="N63" i="278" s="1"/>
  <c r="O62" i="278" s="1"/>
  <c r="O63" i="278" s="1"/>
  <c r="P62" i="278" s="1"/>
  <c r="I16" i="193"/>
  <c r="J16" i="193"/>
  <c r="I44" i="196"/>
  <c r="J44" i="196"/>
  <c r="B28" i="336"/>
  <c r="H4" i="278"/>
  <c r="C24" i="196"/>
  <c r="D24" i="196"/>
  <c r="E24" i="196"/>
  <c r="B93" i="100"/>
  <c r="B89" i="100"/>
  <c r="B88" i="100"/>
  <c r="A1" i="287" s="1"/>
  <c r="B87" i="100"/>
  <c r="A1" i="286" s="1"/>
  <c r="B86" i="100"/>
  <c r="B85" i="100"/>
  <c r="D42" i="193"/>
  <c r="D20" i="193"/>
  <c r="D30" i="193"/>
  <c r="C45" i="280"/>
  <c r="D39" i="193"/>
  <c r="L20" i="193"/>
  <c r="L30" i="193"/>
  <c r="L39" i="193"/>
  <c r="K46" i="280" s="1"/>
  <c r="K20" i="193"/>
  <c r="K30" i="193"/>
  <c r="K39" i="193"/>
  <c r="J46" i="280" s="1"/>
  <c r="J45" i="280"/>
  <c r="L48" i="194"/>
  <c r="K41" i="280" s="1"/>
  <c r="K48" i="194"/>
  <c r="J41" i="280"/>
  <c r="L40" i="194"/>
  <c r="K40" i="280" s="1"/>
  <c r="K40" i="194"/>
  <c r="J40" i="280"/>
  <c r="L35" i="194"/>
  <c r="K39" i="280"/>
  <c r="K35" i="194"/>
  <c r="J39" i="280"/>
  <c r="J38" i="280"/>
  <c r="L14" i="194"/>
  <c r="K37" i="280"/>
  <c r="K14" i="194"/>
  <c r="J37" i="280" s="1"/>
  <c r="K13" i="280"/>
  <c r="K14" i="280"/>
  <c r="K15" i="280"/>
  <c r="K16" i="280"/>
  <c r="K17" i="280"/>
  <c r="K18" i="280"/>
  <c r="L38" i="196"/>
  <c r="K19" i="280" s="1"/>
  <c r="L24" i="196"/>
  <c r="L39" i="196"/>
  <c r="L43" i="196" s="1"/>
  <c r="L45" i="196" s="1"/>
  <c r="K7" i="280"/>
  <c r="K8" i="280"/>
  <c r="K10" i="280"/>
  <c r="K22" i="280"/>
  <c r="K23" i="280"/>
  <c r="K25" i="280"/>
  <c r="J13" i="280"/>
  <c r="J14" i="280"/>
  <c r="J15" i="280"/>
  <c r="J16" i="280"/>
  <c r="J17" i="280"/>
  <c r="J18" i="280"/>
  <c r="K38" i="196"/>
  <c r="J19" i="280"/>
  <c r="K24" i="196"/>
  <c r="F30" i="191" s="1"/>
  <c r="J7" i="280"/>
  <c r="J8" i="280"/>
  <c r="J10" i="280"/>
  <c r="J22" i="280"/>
  <c r="J23" i="280"/>
  <c r="J25" i="280"/>
  <c r="H20" i="193"/>
  <c r="G44" i="280"/>
  <c r="H30" i="193"/>
  <c r="H39" i="193"/>
  <c r="G20" i="193"/>
  <c r="F44" i="280"/>
  <c r="G30" i="193"/>
  <c r="F45" i="280" s="1"/>
  <c r="G39" i="193"/>
  <c r="F20" i="193"/>
  <c r="F30" i="193"/>
  <c r="F39" i="193"/>
  <c r="E46" i="280"/>
  <c r="E20" i="193"/>
  <c r="E30" i="193"/>
  <c r="D45" i="280" s="1"/>
  <c r="E39" i="193"/>
  <c r="D46" i="280"/>
  <c r="G45" i="280"/>
  <c r="C44" i="280"/>
  <c r="H48" i="194"/>
  <c r="G41" i="280" s="1"/>
  <c r="G48" i="194"/>
  <c r="F41" i="280"/>
  <c r="F48" i="194"/>
  <c r="E41" i="280" s="1"/>
  <c r="E48" i="194"/>
  <c r="D41" i="280"/>
  <c r="D48" i="194"/>
  <c r="C41" i="280" s="1"/>
  <c r="H40" i="194"/>
  <c r="G40" i="280"/>
  <c r="G40" i="194"/>
  <c r="F40" i="194"/>
  <c r="E40" i="280"/>
  <c r="E40" i="194"/>
  <c r="D40" i="194"/>
  <c r="C40" i="280"/>
  <c r="H35" i="194"/>
  <c r="G35" i="194"/>
  <c r="F39" i="280"/>
  <c r="F35" i="194"/>
  <c r="E35" i="194"/>
  <c r="D39" i="280"/>
  <c r="D35" i="194"/>
  <c r="G38" i="280"/>
  <c r="F38" i="280"/>
  <c r="E38" i="280"/>
  <c r="H38" i="280" s="1"/>
  <c r="C38" i="280"/>
  <c r="H14" i="194"/>
  <c r="G37" i="280"/>
  <c r="G14" i="194"/>
  <c r="F37" i="280" s="1"/>
  <c r="F14" i="194"/>
  <c r="F26" i="194" s="1"/>
  <c r="E37" i="280"/>
  <c r="E14" i="194"/>
  <c r="D14" i="194"/>
  <c r="C37" i="280"/>
  <c r="F31" i="280"/>
  <c r="E33" i="280"/>
  <c r="D33" i="280"/>
  <c r="E29" i="280"/>
  <c r="G13" i="280"/>
  <c r="G14" i="280"/>
  <c r="G15" i="280"/>
  <c r="G16" i="280"/>
  <c r="G17" i="280"/>
  <c r="G18" i="280"/>
  <c r="H38" i="196"/>
  <c r="H39" i="196" s="1"/>
  <c r="H43" i="196" s="1"/>
  <c r="H45" i="196" s="1"/>
  <c r="F24" i="196"/>
  <c r="G7" i="280"/>
  <c r="G8" i="280"/>
  <c r="G10" i="280"/>
  <c r="G22" i="280"/>
  <c r="G23" i="280"/>
  <c r="G25" i="280"/>
  <c r="F13" i="280"/>
  <c r="F14" i="280"/>
  <c r="F15" i="280"/>
  <c r="F16" i="280"/>
  <c r="F17" i="280"/>
  <c r="F18" i="280"/>
  <c r="G38" i="196"/>
  <c r="G39" i="196" s="1"/>
  <c r="G43" i="196" s="1"/>
  <c r="G45" i="196" s="1"/>
  <c r="F7" i="280"/>
  <c r="F8" i="280"/>
  <c r="F10" i="280"/>
  <c r="F22" i="280"/>
  <c r="F23" i="280"/>
  <c r="F25" i="280"/>
  <c r="E13" i="280"/>
  <c r="E14" i="280"/>
  <c r="E15" i="280"/>
  <c r="E16" i="280"/>
  <c r="E17" i="280"/>
  <c r="E18" i="280"/>
  <c r="H18" i="280" s="1"/>
  <c r="I18" i="280" s="1"/>
  <c r="F38" i="196"/>
  <c r="F39" i="196" s="1"/>
  <c r="F43" i="196" s="1"/>
  <c r="F45" i="196" s="1"/>
  <c r="E7" i="280"/>
  <c r="E8" i="280"/>
  <c r="E10" i="280"/>
  <c r="E12" i="280" s="1"/>
  <c r="E22" i="280"/>
  <c r="E23" i="280"/>
  <c r="E25" i="280"/>
  <c r="D13" i="280"/>
  <c r="H13" i="280" s="1"/>
  <c r="D14" i="280"/>
  <c r="D15" i="280"/>
  <c r="D16" i="280"/>
  <c r="D17" i="280"/>
  <c r="H17" i="280" s="1"/>
  <c r="I17" i="280" s="1"/>
  <c r="D18" i="280"/>
  <c r="E38" i="196"/>
  <c r="E39" i="196" s="1"/>
  <c r="E43" i="196" s="1"/>
  <c r="E45" i="196" s="1"/>
  <c r="D7" i="280"/>
  <c r="D8" i="280"/>
  <c r="D10" i="280"/>
  <c r="D22" i="280"/>
  <c r="D23" i="280"/>
  <c r="D25" i="280"/>
  <c r="C13" i="280"/>
  <c r="C14" i="280"/>
  <c r="C15" i="280"/>
  <c r="C16" i="280"/>
  <c r="C17" i="280"/>
  <c r="C18" i="280"/>
  <c r="D38" i="196"/>
  <c r="C7" i="280"/>
  <c r="C8" i="280"/>
  <c r="I8" i="280" s="1"/>
  <c r="C10" i="280"/>
  <c r="C22" i="280"/>
  <c r="C23" i="280"/>
  <c r="C25" i="280"/>
  <c r="C48" i="194"/>
  <c r="B41" i="280" s="1"/>
  <c r="B46" i="280"/>
  <c r="B45" i="280"/>
  <c r="B44" i="280"/>
  <c r="C40" i="194"/>
  <c r="B40" i="280"/>
  <c r="C35" i="194"/>
  <c r="B39" i="280" s="1"/>
  <c r="B38" i="280"/>
  <c r="C14" i="194"/>
  <c r="B29" i="280"/>
  <c r="B25" i="280"/>
  <c r="B23" i="280"/>
  <c r="B22" i="280"/>
  <c r="C38" i="196"/>
  <c r="C39" i="196" s="1"/>
  <c r="C43" i="196" s="1"/>
  <c r="C45" i="196" s="1"/>
  <c r="B13" i="280"/>
  <c r="B14" i="280"/>
  <c r="B15" i="280"/>
  <c r="B16" i="280"/>
  <c r="B17" i="280"/>
  <c r="B18" i="280"/>
  <c r="B7" i="280"/>
  <c r="B8" i="280"/>
  <c r="B10" i="280"/>
  <c r="B12" i="280" s="1"/>
  <c r="X36" i="341"/>
  <c r="E2" i="336"/>
  <c r="E10" i="336" s="1"/>
  <c r="B90" i="100"/>
  <c r="B91" i="100"/>
  <c r="A1" i="338" s="1"/>
  <c r="B92" i="100"/>
  <c r="A1" i="337" s="1"/>
  <c r="B84" i="100"/>
  <c r="A1" i="193" s="1"/>
  <c r="B83" i="100"/>
  <c r="A1" i="194" s="1"/>
  <c r="B82" i="100"/>
  <c r="B81" i="100"/>
  <c r="A1" i="196" s="1"/>
  <c r="B80" i="100"/>
  <c r="A1" i="280" s="1"/>
  <c r="G23" i="336"/>
  <c r="H23" i="336"/>
  <c r="I23" i="336"/>
  <c r="J23" i="336"/>
  <c r="K23" i="336"/>
  <c r="L23" i="336"/>
  <c r="M23" i="336"/>
  <c r="N23" i="336"/>
  <c r="O23" i="336"/>
  <c r="F23" i="336"/>
  <c r="F7" i="336"/>
  <c r="G7" i="336"/>
  <c r="H7" i="336"/>
  <c r="I7" i="336"/>
  <c r="J7" i="336"/>
  <c r="K7" i="336"/>
  <c r="L7" i="336"/>
  <c r="M7" i="336"/>
  <c r="N7" i="336"/>
  <c r="O7" i="336"/>
  <c r="E7" i="336"/>
  <c r="F2" i="336"/>
  <c r="F9" i="336" s="1"/>
  <c r="G2" i="336"/>
  <c r="G8" i="336"/>
  <c r="H2" i="336"/>
  <c r="I2" i="336"/>
  <c r="I8" i="336"/>
  <c r="J2" i="336"/>
  <c r="K2" i="336"/>
  <c r="K8" i="336"/>
  <c r="L2" i="336"/>
  <c r="M2" i="336"/>
  <c r="M8" i="336"/>
  <c r="N2" i="336"/>
  <c r="O2" i="336"/>
  <c r="O8" i="336"/>
  <c r="N9" i="336"/>
  <c r="L10" i="336"/>
  <c r="O4" i="336"/>
  <c r="N4" i="336"/>
  <c r="M4" i="336"/>
  <c r="L4" i="336"/>
  <c r="K4" i="336"/>
  <c r="J4" i="336"/>
  <c r="I4" i="336"/>
  <c r="H4" i="336"/>
  <c r="G4" i="336"/>
  <c r="F4" i="336"/>
  <c r="E4" i="336"/>
  <c r="O3" i="336"/>
  <c r="N3" i="336"/>
  <c r="M3" i="336"/>
  <c r="L3" i="336"/>
  <c r="K3" i="336"/>
  <c r="J3" i="336"/>
  <c r="I3" i="336"/>
  <c r="H3" i="336"/>
  <c r="G3" i="336"/>
  <c r="F3" i="336"/>
  <c r="E3" i="336"/>
  <c r="X38" i="341"/>
  <c r="H16" i="280"/>
  <c r="I16" i="280" s="1"/>
  <c r="H8" i="280"/>
  <c r="G3" i="280"/>
  <c r="F3" i="280"/>
  <c r="B3" i="280"/>
  <c r="C3" i="280"/>
  <c r="D3" i="280"/>
  <c r="E3" i="280"/>
  <c r="H3" i="280"/>
  <c r="I3" i="280"/>
  <c r="K3" i="280"/>
  <c r="J3" i="280"/>
  <c r="A2" i="280"/>
  <c r="H3" i="196"/>
  <c r="G3" i="196"/>
  <c r="C3" i="196"/>
  <c r="D3" i="196"/>
  <c r="E3" i="196"/>
  <c r="F3" i="196"/>
  <c r="I3" i="196"/>
  <c r="J3" i="196"/>
  <c r="K3" i="196"/>
  <c r="L3" i="196"/>
  <c r="I42" i="196"/>
  <c r="J42" i="196"/>
  <c r="I41" i="196"/>
  <c r="J41" i="196"/>
  <c r="I40" i="196"/>
  <c r="J40" i="196"/>
  <c r="I27" i="196"/>
  <c r="I28" i="196"/>
  <c r="J28" i="196" s="1"/>
  <c r="I29" i="196"/>
  <c r="I30" i="196"/>
  <c r="J30" i="196" s="1"/>
  <c r="I31" i="196"/>
  <c r="J31" i="196"/>
  <c r="I32" i="196"/>
  <c r="J32" i="196" s="1"/>
  <c r="I33" i="196"/>
  <c r="J33" i="196" s="1"/>
  <c r="I34" i="196"/>
  <c r="I35" i="196"/>
  <c r="J35" i="196"/>
  <c r="I36" i="196"/>
  <c r="J36" i="196" s="1"/>
  <c r="I37" i="196"/>
  <c r="J37" i="196"/>
  <c r="J34" i="196"/>
  <c r="J29" i="196"/>
  <c r="I23" i="196"/>
  <c r="J23" i="196"/>
  <c r="I22" i="196"/>
  <c r="J22" i="196" s="1"/>
  <c r="I21" i="196"/>
  <c r="J21" i="196"/>
  <c r="I20" i="196"/>
  <c r="J20" i="196" s="1"/>
  <c r="I19" i="196"/>
  <c r="J19" i="196"/>
  <c r="I18" i="196"/>
  <c r="J18" i="196" s="1"/>
  <c r="I17" i="196"/>
  <c r="J17" i="196"/>
  <c r="I16" i="196"/>
  <c r="J16" i="196" s="1"/>
  <c r="I15" i="196"/>
  <c r="J15" i="196"/>
  <c r="I14" i="196"/>
  <c r="J14" i="196" s="1"/>
  <c r="I13" i="196"/>
  <c r="J13" i="196"/>
  <c r="I12" i="196"/>
  <c r="J12" i="196" s="1"/>
  <c r="I11" i="196"/>
  <c r="J11" i="196"/>
  <c r="I10" i="196"/>
  <c r="J10" i="196" s="1"/>
  <c r="I9" i="196"/>
  <c r="J9" i="196"/>
  <c r="I8" i="196"/>
  <c r="I7" i="196"/>
  <c r="B2" i="196"/>
  <c r="A2" i="196"/>
  <c r="I8" i="194"/>
  <c r="J8" i="194"/>
  <c r="I9" i="194"/>
  <c r="J9" i="194" s="1"/>
  <c r="I30" i="194"/>
  <c r="J30" i="194"/>
  <c r="H26" i="194"/>
  <c r="G26" i="194"/>
  <c r="I46" i="194"/>
  <c r="I45" i="194"/>
  <c r="J45" i="194"/>
  <c r="I39" i="194"/>
  <c r="I38" i="194"/>
  <c r="J38" i="194"/>
  <c r="I34" i="194"/>
  <c r="J34" i="194" s="1"/>
  <c r="I33" i="194"/>
  <c r="J33" i="194"/>
  <c r="I32" i="194"/>
  <c r="J32" i="194" s="1"/>
  <c r="J35" i="194" s="1"/>
  <c r="I31" i="194"/>
  <c r="J31" i="194"/>
  <c r="I23" i="194"/>
  <c r="J23" i="194" s="1"/>
  <c r="I22" i="194"/>
  <c r="J22" i="194"/>
  <c r="I21" i="194"/>
  <c r="J21" i="194" s="1"/>
  <c r="I20" i="194"/>
  <c r="J20" i="194"/>
  <c r="I19" i="194"/>
  <c r="J19" i="194" s="1"/>
  <c r="I18" i="194"/>
  <c r="J18" i="194"/>
  <c r="I17" i="194"/>
  <c r="I13" i="194"/>
  <c r="J13" i="194"/>
  <c r="I12" i="194"/>
  <c r="J12" i="194" s="1"/>
  <c r="I11" i="194"/>
  <c r="J11" i="194"/>
  <c r="I10" i="194"/>
  <c r="J10" i="194" s="1"/>
  <c r="H3" i="194"/>
  <c r="G3" i="194"/>
  <c r="L41" i="194"/>
  <c r="G9" i="191" s="1"/>
  <c r="K26" i="194"/>
  <c r="K42" i="194" s="1"/>
  <c r="K57" i="194" s="1"/>
  <c r="K41" i="194"/>
  <c r="L3" i="194"/>
  <c r="K3" i="194"/>
  <c r="J3" i="194"/>
  <c r="I3" i="194"/>
  <c r="F3" i="194"/>
  <c r="E3" i="194"/>
  <c r="D3" i="194"/>
  <c r="C3" i="194"/>
  <c r="A2" i="194"/>
  <c r="B2" i="194"/>
  <c r="D26" i="194"/>
  <c r="E26" i="194"/>
  <c r="C41" i="194"/>
  <c r="I13" i="193"/>
  <c r="J13" i="193"/>
  <c r="I14" i="193"/>
  <c r="J14" i="193"/>
  <c r="I17" i="193"/>
  <c r="J17" i="193"/>
  <c r="I18" i="193"/>
  <c r="J18" i="193"/>
  <c r="I19" i="193"/>
  <c r="J19" i="193"/>
  <c r="I24" i="193"/>
  <c r="J24" i="193"/>
  <c r="I25" i="193"/>
  <c r="I26" i="193"/>
  <c r="J26" i="193"/>
  <c r="I27" i="193"/>
  <c r="J27" i="193" s="1"/>
  <c r="I29" i="193"/>
  <c r="J29" i="193"/>
  <c r="I34" i="193"/>
  <c r="I35" i="193"/>
  <c r="J35" i="193"/>
  <c r="I36" i="193"/>
  <c r="J36" i="193" s="1"/>
  <c r="I38" i="193"/>
  <c r="J38" i="193"/>
  <c r="L53" i="193"/>
  <c r="K53" i="193"/>
  <c r="D53" i="193"/>
  <c r="H3" i="193"/>
  <c r="G3" i="193"/>
  <c r="A2" i="193"/>
  <c r="L3" i="193"/>
  <c r="K3" i="193"/>
  <c r="J3" i="193"/>
  <c r="I3" i="193"/>
  <c r="F3" i="193"/>
  <c r="E3" i="193"/>
  <c r="D3" i="193"/>
  <c r="C3" i="193"/>
  <c r="B2" i="193"/>
  <c r="I24" i="192"/>
  <c r="J24" i="192" s="1"/>
  <c r="I23" i="192"/>
  <c r="J23" i="192"/>
  <c r="I22" i="192"/>
  <c r="J22" i="192" s="1"/>
  <c r="I21" i="192"/>
  <c r="J21" i="192"/>
  <c r="I20" i="192"/>
  <c r="J20" i="192" s="1"/>
  <c r="I19" i="192"/>
  <c r="J19" i="192"/>
  <c r="I18" i="192"/>
  <c r="J18" i="192" s="1"/>
  <c r="I17" i="192"/>
  <c r="J17" i="192"/>
  <c r="I16" i="192"/>
  <c r="J16" i="192" s="1"/>
  <c r="I15" i="192"/>
  <c r="J15" i="192"/>
  <c r="I14" i="192"/>
  <c r="J14" i="192" s="1"/>
  <c r="I13" i="192"/>
  <c r="J13" i="192"/>
  <c r="I12" i="192"/>
  <c r="J12" i="192" s="1"/>
  <c r="I11" i="192"/>
  <c r="J11" i="192"/>
  <c r="I10" i="192"/>
  <c r="J10" i="192" s="1"/>
  <c r="I9" i="192"/>
  <c r="J9" i="192"/>
  <c r="I8" i="192"/>
  <c r="J8" i="192" s="1"/>
  <c r="I7" i="192"/>
  <c r="J7" i="192"/>
  <c r="I6" i="192"/>
  <c r="J6" i="192" s="1"/>
  <c r="H3" i="192"/>
  <c r="G3" i="192"/>
  <c r="L3" i="192"/>
  <c r="K3" i="192"/>
  <c r="J3" i="192"/>
  <c r="I3" i="192"/>
  <c r="F3" i="192"/>
  <c r="E3" i="192"/>
  <c r="D3" i="192"/>
  <c r="C3" i="192"/>
  <c r="G31" i="191"/>
  <c r="G30" i="191"/>
  <c r="G27" i="191"/>
  <c r="F31" i="191"/>
  <c r="F28" i="191"/>
  <c r="F26" i="191"/>
  <c r="D31" i="191"/>
  <c r="D28" i="191"/>
  <c r="D26" i="191"/>
  <c r="G14" i="191"/>
  <c r="G12" i="191"/>
  <c r="G10" i="191"/>
  <c r="G6" i="191"/>
  <c r="F14" i="191"/>
  <c r="F12" i="191"/>
  <c r="F10" i="191"/>
  <c r="F9" i="191"/>
  <c r="F6" i="191"/>
  <c r="G18" i="191"/>
  <c r="F18" i="191"/>
  <c r="D18" i="191"/>
  <c r="F16" i="191"/>
  <c r="E16" i="191"/>
  <c r="D16" i="191"/>
  <c r="D14" i="191"/>
  <c r="D10" i="191"/>
  <c r="D9" i="191"/>
  <c r="D6" i="191"/>
  <c r="G3" i="191"/>
  <c r="F3" i="191"/>
  <c r="E3" i="191"/>
  <c r="D3" i="191"/>
  <c r="C2" i="191"/>
  <c r="I24" i="286"/>
  <c r="B2" i="286"/>
  <c r="F24" i="286"/>
  <c r="H24" i="286"/>
  <c r="J24" i="286"/>
  <c r="A25" i="286"/>
  <c r="I25" i="287"/>
  <c r="J25" i="287"/>
  <c r="I38" i="287"/>
  <c r="J38" i="287" s="1"/>
  <c r="I12" i="287"/>
  <c r="J12" i="287"/>
  <c r="I13" i="287"/>
  <c r="J13" i="287" s="1"/>
  <c r="I14" i="287"/>
  <c r="J14" i="287"/>
  <c r="I43" i="287"/>
  <c r="J43" i="287" s="1"/>
  <c r="I42" i="287"/>
  <c r="J42" i="287"/>
  <c r="I41" i="287"/>
  <c r="J41" i="287" s="1"/>
  <c r="I40" i="287"/>
  <c r="J40" i="287"/>
  <c r="I39" i="287"/>
  <c r="J39" i="287" s="1"/>
  <c r="I37" i="287"/>
  <c r="J37" i="287"/>
  <c r="I36" i="287"/>
  <c r="J36" i="287" s="1"/>
  <c r="I35" i="287"/>
  <c r="J35" i="287"/>
  <c r="I34" i="287"/>
  <c r="I29" i="287"/>
  <c r="J29" i="287"/>
  <c r="I28" i="287"/>
  <c r="J28" i="287"/>
  <c r="I27" i="287"/>
  <c r="J27" i="287"/>
  <c r="I26" i="287"/>
  <c r="J26" i="287"/>
  <c r="I24" i="287"/>
  <c r="J24" i="287"/>
  <c r="I23" i="287"/>
  <c r="J23" i="287"/>
  <c r="I22" i="287"/>
  <c r="J22" i="287"/>
  <c r="J30" i="287" s="1"/>
  <c r="K31" i="287" s="1"/>
  <c r="I21" i="287"/>
  <c r="J21" i="287"/>
  <c r="I16" i="287"/>
  <c r="J16" i="287" s="1"/>
  <c r="I15" i="287"/>
  <c r="J15" i="287"/>
  <c r="I11" i="287"/>
  <c r="J11" i="287" s="1"/>
  <c r="I10" i="287"/>
  <c r="J10" i="287"/>
  <c r="I9" i="287"/>
  <c r="J9" i="287" s="1"/>
  <c r="I8" i="287"/>
  <c r="J8" i="287"/>
  <c r="H3" i="287"/>
  <c r="G17" i="287"/>
  <c r="G30" i="287"/>
  <c r="G44" i="287"/>
  <c r="G47" i="287" s="1"/>
  <c r="G3" i="287"/>
  <c r="L17" i="287"/>
  <c r="L30" i="287"/>
  <c r="L44" i="287"/>
  <c r="K17" i="287"/>
  <c r="K30" i="287"/>
  <c r="K44" i="287"/>
  <c r="H17" i="287"/>
  <c r="H30" i="287"/>
  <c r="H44" i="287"/>
  <c r="H47" i="287" s="1"/>
  <c r="L3" i="287"/>
  <c r="K3" i="287"/>
  <c r="J3" i="287"/>
  <c r="I3" i="287"/>
  <c r="F3" i="287"/>
  <c r="E3" i="287"/>
  <c r="D3" i="287"/>
  <c r="C3" i="287"/>
  <c r="B2" i="287"/>
  <c r="C17" i="287"/>
  <c r="D17" i="287"/>
  <c r="E17" i="287"/>
  <c r="F17" i="287"/>
  <c r="C30" i="287"/>
  <c r="D30" i="287"/>
  <c r="E30" i="287"/>
  <c r="F30" i="287"/>
  <c r="C44" i="287"/>
  <c r="D44" i="287"/>
  <c r="E44" i="287"/>
  <c r="F44" i="287"/>
  <c r="E47" i="287"/>
  <c r="A49" i="287"/>
  <c r="N53" i="278"/>
  <c r="N58" i="278"/>
  <c r="O53" i="278"/>
  <c r="O58" i="278"/>
  <c r="P4" i="278"/>
  <c r="O4" i="278"/>
  <c r="N4" i="278"/>
  <c r="M4" i="278"/>
  <c r="L4" i="278"/>
  <c r="K4" i="278"/>
  <c r="J4" i="278"/>
  <c r="I4" i="278"/>
  <c r="G4" i="278"/>
  <c r="F4" i="278"/>
  <c r="E4" i="278"/>
  <c r="D4" i="278"/>
  <c r="C4" i="278"/>
  <c r="B4" i="278"/>
  <c r="A2" i="278"/>
  <c r="B38" i="278"/>
  <c r="C38" i="278"/>
  <c r="D38" i="278"/>
  <c r="E38" i="278"/>
  <c r="F38" i="278"/>
  <c r="G38" i="278"/>
  <c r="H38" i="278"/>
  <c r="I38" i="278"/>
  <c r="J38" i="278"/>
  <c r="K38" i="278"/>
  <c r="L38" i="278"/>
  <c r="M38" i="278"/>
  <c r="N38" i="278"/>
  <c r="O38" i="278"/>
  <c r="P38" i="278"/>
  <c r="B42" i="278"/>
  <c r="C42" i="278"/>
  <c r="D42" i="278"/>
  <c r="E42" i="278"/>
  <c r="F42" i="278"/>
  <c r="G42" i="278"/>
  <c r="H42" i="278"/>
  <c r="I42" i="278"/>
  <c r="J42" i="278"/>
  <c r="K42" i="278"/>
  <c r="L42" i="278"/>
  <c r="M42" i="278"/>
  <c r="N42" i="278"/>
  <c r="O42" i="278"/>
  <c r="P42" i="278"/>
  <c r="B53" i="278"/>
  <c r="C53" i="278"/>
  <c r="D53" i="278"/>
  <c r="D63" i="278" s="1"/>
  <c r="E53" i="278"/>
  <c r="F53" i="278"/>
  <c r="G53" i="278"/>
  <c r="G63" i="278" s="1"/>
  <c r="H53" i="278"/>
  <c r="I53" i="278"/>
  <c r="J53" i="278"/>
  <c r="K53" i="278"/>
  <c r="K63" i="278" s="1"/>
  <c r="L53" i="278"/>
  <c r="L63" i="278" s="1"/>
  <c r="M53" i="278"/>
  <c r="P53" i="278"/>
  <c r="B58" i="278"/>
  <c r="B63" i="278" s="1"/>
  <c r="C58" i="278"/>
  <c r="D58" i="278"/>
  <c r="E58" i="278"/>
  <c r="F58" i="278"/>
  <c r="F63" i="278" s="1"/>
  <c r="G58" i="278"/>
  <c r="H58" i="278"/>
  <c r="I58" i="278"/>
  <c r="J58" i="278"/>
  <c r="J63" i="278" s="1"/>
  <c r="K58" i="278"/>
  <c r="L58" i="278"/>
  <c r="M58" i="278"/>
  <c r="P58" i="278"/>
  <c r="B62" i="278"/>
  <c r="C62" i="278"/>
  <c r="D62" i="278"/>
  <c r="E62" i="278"/>
  <c r="F62" i="278"/>
  <c r="G62" i="278"/>
  <c r="H62" i="278"/>
  <c r="H63" i="278" s="1"/>
  <c r="I62" i="278"/>
  <c r="J62" i="278"/>
  <c r="K62" i="278"/>
  <c r="L62" i="278"/>
  <c r="A87" i="339"/>
  <c r="B5" i="100"/>
  <c r="B2" i="339"/>
  <c r="A2" i="339"/>
  <c r="A87" i="338"/>
  <c r="A87" i="337"/>
  <c r="J3" i="333"/>
  <c r="B2" i="333"/>
  <c r="C23" i="333"/>
  <c r="M23" i="333"/>
  <c r="N23" i="333"/>
  <c r="A24" i="333"/>
  <c r="B25" i="100"/>
  <c r="B21" i="100"/>
  <c r="B29" i="100"/>
  <c r="B6" i="100"/>
  <c r="A1" i="192"/>
  <c r="A1" i="191"/>
  <c r="A1" i="278"/>
  <c r="A1" i="333"/>
  <c r="I30" i="287"/>
  <c r="I35" i="194"/>
  <c r="I14" i="194"/>
  <c r="E8" i="336"/>
  <c r="E41" i="193"/>
  <c r="E44" i="280"/>
  <c r="K44" i="280"/>
  <c r="D44" i="280"/>
  <c r="J44" i="280"/>
  <c r="F46" i="280"/>
  <c r="C47" i="287"/>
  <c r="C63" i="278"/>
  <c r="I63" i="278"/>
  <c r="F47" i="287"/>
  <c r="K47" i="287"/>
  <c r="L31" i="287"/>
  <c r="L18" i="287"/>
  <c r="O10" i="336"/>
  <c r="M10" i="336"/>
  <c r="K10" i="336"/>
  <c r="I10" i="336"/>
  <c r="G10" i="336"/>
  <c r="O9" i="336"/>
  <c r="M9" i="336"/>
  <c r="K9" i="336"/>
  <c r="I9" i="336"/>
  <c r="G9" i="336"/>
  <c r="E9" i="336"/>
  <c r="K41" i="193"/>
  <c r="K47" i="339"/>
  <c r="J27" i="196"/>
  <c r="J7" i="196"/>
  <c r="D17" i="191"/>
  <c r="G17" i="191"/>
  <c r="D30" i="191"/>
  <c r="F27" i="191"/>
  <c r="G26" i="191"/>
  <c r="K39" i="196"/>
  <c r="K43" i="196" s="1"/>
  <c r="K45" i="196" s="1"/>
  <c r="F17" i="191"/>
  <c r="D27" i="191"/>
  <c r="G28" i="191"/>
  <c r="C42" i="193"/>
  <c r="H44" i="280"/>
  <c r="I44" i="280" s="1"/>
  <c r="G41" i="193"/>
  <c r="H41" i="280"/>
  <c r="I41" i="280"/>
  <c r="F5" i="191"/>
  <c r="J14" i="194"/>
  <c r="E12" i="191" s="1"/>
  <c r="J53" i="193"/>
  <c r="B19" i="280"/>
  <c r="B20" i="280" s="1"/>
  <c r="F30" i="280"/>
  <c r="F34" i="280" s="1"/>
  <c r="H14" i="280"/>
  <c r="I14" i="280" s="1"/>
  <c r="D32" i="280"/>
  <c r="I13" i="280"/>
  <c r="H15" i="280"/>
  <c r="I15" i="280" s="1"/>
  <c r="M16" i="195"/>
  <c r="L12" i="195"/>
  <c r="M75" i="195"/>
  <c r="C23" i="195"/>
  <c r="I9" i="195"/>
  <c r="H8" i="339"/>
  <c r="L91" i="195"/>
  <c r="L95" i="195" s="1"/>
  <c r="J9" i="193"/>
  <c r="J20" i="193" s="1"/>
  <c r="J40" i="195"/>
  <c r="K40" i="195" s="1"/>
  <c r="J31" i="280" s="1"/>
  <c r="J59" i="195"/>
  <c r="K59" i="195" s="1"/>
  <c r="J56" i="195"/>
  <c r="K56" i="195" s="1"/>
  <c r="M55" i="339"/>
  <c r="L55" i="339"/>
  <c r="E55" i="339"/>
  <c r="G55" i="339"/>
  <c r="G55" i="195" s="1"/>
  <c r="K82" i="339"/>
  <c r="K82" i="195"/>
  <c r="I55" i="339"/>
  <c r="J67" i="339"/>
  <c r="J65" i="195"/>
  <c r="K65" i="195" s="1"/>
  <c r="J51" i="195"/>
  <c r="K51" i="195" s="1"/>
  <c r="J49" i="339"/>
  <c r="J49" i="195" s="1"/>
  <c r="K45" i="339"/>
  <c r="K45" i="195" s="1"/>
  <c r="J45" i="339"/>
  <c r="G7" i="191"/>
  <c r="J43" i="195"/>
  <c r="K43" i="195" s="1"/>
  <c r="J29" i="339"/>
  <c r="E31" i="280"/>
  <c r="F8" i="339"/>
  <c r="F8" i="195"/>
  <c r="M8" i="339"/>
  <c r="M8" i="195"/>
  <c r="C8" i="339"/>
  <c r="C8" i="195"/>
  <c r="J10" i="195"/>
  <c r="K10" i="195"/>
  <c r="J62" i="195"/>
  <c r="K62" i="195"/>
  <c r="J54" i="195"/>
  <c r="K54" i="195"/>
  <c r="J46" i="195"/>
  <c r="K46" i="195"/>
  <c r="H32" i="280"/>
  <c r="J25" i="195"/>
  <c r="K25" i="195" s="1"/>
  <c r="J19" i="195"/>
  <c r="K19" i="195" s="1"/>
  <c r="J13" i="195"/>
  <c r="K13" i="195" s="1"/>
  <c r="K32" i="280"/>
  <c r="K34" i="280" s="1"/>
  <c r="J63" i="195"/>
  <c r="K63" i="195" s="1"/>
  <c r="J61" i="195"/>
  <c r="K61" i="195" s="1"/>
  <c r="J58" i="195"/>
  <c r="K58" i="195" s="1"/>
  <c r="J50" i="195"/>
  <c r="K50" i="195" s="1"/>
  <c r="J24" i="195"/>
  <c r="K24" i="195" s="1"/>
  <c r="J22" i="195"/>
  <c r="K22" i="195" s="1"/>
  <c r="J18" i="195"/>
  <c r="K18" i="195" s="1"/>
  <c r="J14" i="195"/>
  <c r="K14" i="195" s="1"/>
  <c r="J11" i="195"/>
  <c r="K11" i="195" s="1"/>
  <c r="J64" i="195"/>
  <c r="K64" i="195" s="1"/>
  <c r="J60" i="195"/>
  <c r="K60" i="195" s="1"/>
  <c r="J41" i="195"/>
  <c r="K41" i="195" s="1"/>
  <c r="J32" i="280" s="1"/>
  <c r="J27" i="195"/>
  <c r="K27" i="195"/>
  <c r="J26" i="195"/>
  <c r="K26" i="195"/>
  <c r="J21" i="195"/>
  <c r="K21" i="195"/>
  <c r="J17" i="195"/>
  <c r="K17" i="195"/>
  <c r="H29" i="280"/>
  <c r="I29" i="280" s="1"/>
  <c r="H33" i="280"/>
  <c r="J42" i="195"/>
  <c r="K32" i="195"/>
  <c r="J29" i="280" s="1"/>
  <c r="J31" i="195"/>
  <c r="K31" i="195" s="1"/>
  <c r="J30" i="195"/>
  <c r="K30" i="195" s="1"/>
  <c r="K76" i="339"/>
  <c r="K75" i="339" s="1"/>
  <c r="J71" i="339"/>
  <c r="J71" i="195"/>
  <c r="K69" i="339"/>
  <c r="K67" i="339"/>
  <c r="H53" i="339"/>
  <c r="H53" i="195"/>
  <c r="H55" i="195"/>
  <c r="H81" i="195"/>
  <c r="J83" i="195"/>
  <c r="C55" i="339"/>
  <c r="F81" i="195"/>
  <c r="K50" i="339"/>
  <c r="K49" i="339"/>
  <c r="K49" i="195" s="1"/>
  <c r="G34" i="280"/>
  <c r="J39" i="195"/>
  <c r="K39" i="195"/>
  <c r="J30" i="280" s="1"/>
  <c r="K33" i="195"/>
  <c r="I32" i="280"/>
  <c r="D7" i="191"/>
  <c r="H8" i="195"/>
  <c r="J23" i="339"/>
  <c r="J23" i="195" s="1"/>
  <c r="D20" i="195"/>
  <c r="J20" i="339"/>
  <c r="J20" i="195"/>
  <c r="J16" i="339"/>
  <c r="K12" i="339"/>
  <c r="I8" i="339"/>
  <c r="E12" i="195"/>
  <c r="C12" i="195"/>
  <c r="L8" i="339"/>
  <c r="G8" i="339"/>
  <c r="F9" i="195"/>
  <c r="L55" i="195"/>
  <c r="L53" i="339"/>
  <c r="L53" i="195" s="1"/>
  <c r="M53" i="339"/>
  <c r="M53" i="195" s="1"/>
  <c r="M55" i="195"/>
  <c r="I53" i="339"/>
  <c r="I53" i="195" s="1"/>
  <c r="I55" i="195"/>
  <c r="H79" i="339"/>
  <c r="H79" i="195" s="1"/>
  <c r="K23" i="339"/>
  <c r="C55" i="195"/>
  <c r="C53" i="339"/>
  <c r="K20" i="339"/>
  <c r="K20" i="195"/>
  <c r="K16" i="339"/>
  <c r="I79" i="339"/>
  <c r="H90" i="338"/>
  <c r="C53" i="195"/>
  <c r="J55" i="339" l="1"/>
  <c r="E53" i="339"/>
  <c r="E55" i="195"/>
  <c r="H34" i="280"/>
  <c r="F7" i="191"/>
  <c r="F79" i="339"/>
  <c r="H104" i="195"/>
  <c r="H90" i="339"/>
  <c r="J29" i="195"/>
  <c r="K29" i="339"/>
  <c r="K29" i="195" s="1"/>
  <c r="L79" i="339"/>
  <c r="K38" i="195"/>
  <c r="J17" i="287"/>
  <c r="E13" i="191"/>
  <c r="E14" i="191"/>
  <c r="C79" i="339"/>
  <c r="I30" i="280"/>
  <c r="I34" i="280" s="1"/>
  <c r="M79" i="339"/>
  <c r="E34" i="280"/>
  <c r="F55" i="195"/>
  <c r="G53" i="339"/>
  <c r="E7" i="191"/>
  <c r="E8" i="339"/>
  <c r="C34" i="280"/>
  <c r="J9" i="339"/>
  <c r="D34" i="280"/>
  <c r="J81" i="339"/>
  <c r="I17" i="287"/>
  <c r="E63" i="278"/>
  <c r="P63" i="278"/>
  <c r="L47" i="287"/>
  <c r="L45" i="287"/>
  <c r="I39" i="193"/>
  <c r="J34" i="193"/>
  <c r="J39" i="193" s="1"/>
  <c r="H10" i="336"/>
  <c r="H8" i="336"/>
  <c r="H9" i="336"/>
  <c r="B3" i="100"/>
  <c r="B23" i="100"/>
  <c r="B19" i="100"/>
  <c r="B27" i="100"/>
  <c r="B18" i="100"/>
  <c r="B4" i="100"/>
  <c r="B22" i="100"/>
  <c r="B30" i="100"/>
  <c r="B26" i="100"/>
  <c r="B2" i="100"/>
  <c r="B7" i="100"/>
  <c r="B24" i="100"/>
  <c r="B20" i="100"/>
  <c r="B28" i="100"/>
  <c r="D12" i="280"/>
  <c r="H10" i="280"/>
  <c r="I10" i="280" s="1"/>
  <c r="D37" i="280"/>
  <c r="H37" i="280" s="1"/>
  <c r="F13" i="191"/>
  <c r="H41" i="194"/>
  <c r="H42" i="194" s="1"/>
  <c r="H57" i="194" s="1"/>
  <c r="G39" i="280"/>
  <c r="H45" i="280"/>
  <c r="I45" i="280" s="1"/>
  <c r="E45" i="280"/>
  <c r="F41" i="193"/>
  <c r="D32" i="191"/>
  <c r="B47" i="280"/>
  <c r="I8" i="338"/>
  <c r="I79" i="338" s="1"/>
  <c r="I79" i="195" s="1"/>
  <c r="J25" i="194"/>
  <c r="J26" i="194" s="1"/>
  <c r="J9" i="336"/>
  <c r="B17" i="100" s="1"/>
  <c r="J10" i="336"/>
  <c r="J8" i="336"/>
  <c r="B16" i="100" s="1"/>
  <c r="C46" i="280"/>
  <c r="I46" i="280" s="1"/>
  <c r="D41" i="193"/>
  <c r="D43" i="193" s="1"/>
  <c r="J55" i="337"/>
  <c r="J53" i="337" s="1"/>
  <c r="F53" i="337"/>
  <c r="D8" i="339"/>
  <c r="K42" i="195"/>
  <c r="J33" i="280" s="1"/>
  <c r="J34" i="280" s="1"/>
  <c r="D47" i="287"/>
  <c r="J34" i="287"/>
  <c r="J44" i="287" s="1"/>
  <c r="K45" i="287" s="1"/>
  <c r="I44" i="287"/>
  <c r="J25" i="193"/>
  <c r="J30" i="193" s="1"/>
  <c r="J41" i="193" s="1"/>
  <c r="I30" i="193"/>
  <c r="I48" i="194"/>
  <c r="J46" i="194"/>
  <c r="L9" i="336"/>
  <c r="L8" i="336"/>
  <c r="A1" i="195"/>
  <c r="A1" i="339"/>
  <c r="H7" i="280"/>
  <c r="C39" i="280"/>
  <c r="D41" i="194"/>
  <c r="D42" i="194" s="1"/>
  <c r="D57" i="194" s="1"/>
  <c r="G41" i="194"/>
  <c r="F40" i="280"/>
  <c r="G46" i="280"/>
  <c r="H46" i="280" s="1"/>
  <c r="H41" i="193"/>
  <c r="K76" i="338"/>
  <c r="K75" i="338" s="1"/>
  <c r="K75" i="195" s="1"/>
  <c r="J75" i="338"/>
  <c r="F79" i="337"/>
  <c r="J40" i="194"/>
  <c r="J41" i="194" s="1"/>
  <c r="E9" i="191" s="1"/>
  <c r="I24" i="196"/>
  <c r="J8" i="196"/>
  <c r="J24" i="196" s="1"/>
  <c r="F41" i="194"/>
  <c r="G13" i="191"/>
  <c r="E39" i="280"/>
  <c r="J16" i="337"/>
  <c r="K16" i="337" s="1"/>
  <c r="E8" i="337"/>
  <c r="D19" i="280"/>
  <c r="D20" i="280" s="1"/>
  <c r="D21" i="280" s="1"/>
  <c r="D24" i="280" s="1"/>
  <c r="D26" i="280" s="1"/>
  <c r="E28" i="191"/>
  <c r="I40" i="194"/>
  <c r="I41" i="194" s="1"/>
  <c r="J39" i="194"/>
  <c r="G42" i="194"/>
  <c r="G57" i="194" s="1"/>
  <c r="J38" i="196"/>
  <c r="E6" i="191" s="1"/>
  <c r="N8" i="336"/>
  <c r="N10" i="336"/>
  <c r="F8" i="336"/>
  <c r="F10" i="336"/>
  <c r="D12" i="191"/>
  <c r="C26" i="194"/>
  <c r="B37" i="280"/>
  <c r="D13" i="191"/>
  <c r="E41" i="194"/>
  <c r="E42" i="194" s="1"/>
  <c r="E57" i="194" s="1"/>
  <c r="D40" i="280"/>
  <c r="H40" i="280" s="1"/>
  <c r="I40" i="280" s="1"/>
  <c r="L41" i="193"/>
  <c r="K45" i="280"/>
  <c r="K38" i="280"/>
  <c r="L26" i="194"/>
  <c r="J53" i="338"/>
  <c r="K54" i="338"/>
  <c r="I25" i="194"/>
  <c r="I26" i="194" s="1"/>
  <c r="I42" i="194" s="1"/>
  <c r="I57" i="194" s="1"/>
  <c r="D55" i="195"/>
  <c r="K9" i="338"/>
  <c r="D8" i="338"/>
  <c r="F16" i="195"/>
  <c r="J16" i="338"/>
  <c r="J16" i="195" s="1"/>
  <c r="K23" i="338"/>
  <c r="K23" i="195" s="1"/>
  <c r="K67" i="338"/>
  <c r="K67" i="195" s="1"/>
  <c r="H79" i="337"/>
  <c r="J45" i="337"/>
  <c r="K68" i="337"/>
  <c r="K67" i="337" s="1"/>
  <c r="J67" i="337"/>
  <c r="K71" i="337"/>
  <c r="J45" i="287"/>
  <c r="J31" i="287"/>
  <c r="J18" i="287"/>
  <c r="J48" i="194"/>
  <c r="I38" i="280"/>
  <c r="H9" i="280"/>
  <c r="H12" i="280" s="1"/>
  <c r="J82" i="195"/>
  <c r="L8" i="338"/>
  <c r="L79" i="338" s="1"/>
  <c r="J55" i="338"/>
  <c r="K55" i="338" s="1"/>
  <c r="E53" i="338"/>
  <c r="C79" i="337"/>
  <c r="I8" i="337"/>
  <c r="I79" i="337" s="1"/>
  <c r="D53" i="337"/>
  <c r="K55" i="337"/>
  <c r="J17" i="194"/>
  <c r="D39" i="196"/>
  <c r="D43" i="196" s="1"/>
  <c r="D45" i="196" s="1"/>
  <c r="F42" i="194"/>
  <c r="F57" i="194" s="1"/>
  <c r="J75" i="195"/>
  <c r="G8" i="338"/>
  <c r="G79" i="338" s="1"/>
  <c r="J9" i="338"/>
  <c r="M79" i="338"/>
  <c r="K12" i="338"/>
  <c r="K12" i="195" s="1"/>
  <c r="L8" i="337"/>
  <c r="L79" i="337" s="1"/>
  <c r="K20" i="337"/>
  <c r="D8" i="337"/>
  <c r="K53" i="337"/>
  <c r="J75" i="337"/>
  <c r="K76" i="337"/>
  <c r="K75" i="337" s="1"/>
  <c r="J71" i="337"/>
  <c r="E8" i="338"/>
  <c r="J45" i="338"/>
  <c r="J45" i="195" s="1"/>
  <c r="J67" i="338"/>
  <c r="J67" i="195" s="1"/>
  <c r="I20" i="193"/>
  <c r="I41" i="193" s="1"/>
  <c r="E10" i="191"/>
  <c r="F19" i="280"/>
  <c r="I38" i="196"/>
  <c r="I39" i="196" s="1"/>
  <c r="I43" i="196" s="1"/>
  <c r="I45" i="196" s="1"/>
  <c r="E19" i="280"/>
  <c r="E20" i="280" s="1"/>
  <c r="E21" i="280" s="1"/>
  <c r="E24" i="280" s="1"/>
  <c r="E26" i="280" s="1"/>
  <c r="B21" i="280"/>
  <c r="B24" i="280" s="1"/>
  <c r="B26" i="280" s="1"/>
  <c r="C12" i="280"/>
  <c r="I7" i="280"/>
  <c r="C19" i="280"/>
  <c r="C20" i="280" s="1"/>
  <c r="C21" i="280" s="1"/>
  <c r="C24" i="280" s="1"/>
  <c r="C26" i="280" s="1"/>
  <c r="F12" i="280"/>
  <c r="G12" i="280"/>
  <c r="G19" i="280"/>
  <c r="G20" i="280" s="1"/>
  <c r="J12" i="280"/>
  <c r="J20" i="280"/>
  <c r="K12" i="280"/>
  <c r="K20" i="280"/>
  <c r="I11" i="280"/>
  <c r="J57" i="195"/>
  <c r="K57" i="195" s="1"/>
  <c r="J47" i="195"/>
  <c r="K47" i="195" s="1"/>
  <c r="J15" i="195"/>
  <c r="K15" i="195" s="1"/>
  <c r="F20" i="280"/>
  <c r="I9" i="280"/>
  <c r="F21" i="280"/>
  <c r="F24" i="280" s="1"/>
  <c r="F26" i="280" s="1"/>
  <c r="I12" i="280" l="1"/>
  <c r="E5" i="191"/>
  <c r="J42" i="194"/>
  <c r="J57" i="194" s="1"/>
  <c r="C2" i="286"/>
  <c r="C2" i="196"/>
  <c r="C2" i="193"/>
  <c r="C2" i="192"/>
  <c r="C2" i="194"/>
  <c r="C2" i="287"/>
  <c r="B2" i="280"/>
  <c r="B2" i="278"/>
  <c r="N3" i="278"/>
  <c r="I3" i="333"/>
  <c r="D2" i="191"/>
  <c r="H21" i="280"/>
  <c r="H22" i="280" s="1"/>
  <c r="I104" i="195"/>
  <c r="I90" i="339"/>
  <c r="K2" i="193"/>
  <c r="K2" i="196"/>
  <c r="K2" i="192"/>
  <c r="O3" i="278"/>
  <c r="K2" i="287"/>
  <c r="K3" i="333"/>
  <c r="J2" i="280"/>
  <c r="K2" i="194"/>
  <c r="F2" i="191"/>
  <c r="C79" i="195"/>
  <c r="C90" i="339"/>
  <c r="E17" i="191"/>
  <c r="E18" i="191"/>
  <c r="E31" i="191"/>
  <c r="D79" i="338"/>
  <c r="K53" i="338"/>
  <c r="H39" i="280"/>
  <c r="I39" i="280" s="1"/>
  <c r="C47" i="280"/>
  <c r="E42" i="193"/>
  <c r="I37" i="280"/>
  <c r="J9" i="195"/>
  <c r="K9" i="339"/>
  <c r="K9" i="195" s="1"/>
  <c r="G53" i="195"/>
  <c r="G79" i="339"/>
  <c r="L8" i="195"/>
  <c r="G8" i="195"/>
  <c r="J55" i="195"/>
  <c r="K55" i="195" s="1"/>
  <c r="D8" i="195"/>
  <c r="D79" i="339"/>
  <c r="G2" i="191"/>
  <c r="L3" i="333"/>
  <c r="K2" i="280"/>
  <c r="L2" i="196"/>
  <c r="L2" i="194"/>
  <c r="L2" i="287"/>
  <c r="P3" i="278"/>
  <c r="L2" i="193"/>
  <c r="L2" i="192"/>
  <c r="E53" i="195"/>
  <c r="H19" i="280"/>
  <c r="H20" i="280" s="1"/>
  <c r="D79" i="337"/>
  <c r="K8" i="337"/>
  <c r="K79" i="337" s="1"/>
  <c r="L42" i="194"/>
  <c r="L57" i="194" s="1"/>
  <c r="G5" i="191"/>
  <c r="D5" i="191"/>
  <c r="C42" i="194"/>
  <c r="C57" i="194" s="1"/>
  <c r="J8" i="337"/>
  <c r="J79" i="337" s="1"/>
  <c r="E79" i="337"/>
  <c r="K16" i="338"/>
  <c r="K16" i="195" s="1"/>
  <c r="J81" i="195"/>
  <c r="K81" i="339"/>
  <c r="K81" i="195" s="1"/>
  <c r="J8" i="339"/>
  <c r="E79" i="339"/>
  <c r="E8" i="195"/>
  <c r="K18" i="287"/>
  <c r="J47" i="287"/>
  <c r="K55" i="339"/>
  <c r="K53" i="339" s="1"/>
  <c r="K53" i="195" s="1"/>
  <c r="J53" i="339"/>
  <c r="J53" i="195" s="1"/>
  <c r="J8" i="338"/>
  <c r="J79" i="338" s="1"/>
  <c r="E79" i="338"/>
  <c r="I47" i="287"/>
  <c r="L90" i="339"/>
  <c r="L79" i="195"/>
  <c r="L104" i="195" s="1"/>
  <c r="L90" i="338"/>
  <c r="E27" i="191"/>
  <c r="E26" i="191"/>
  <c r="E30" i="191"/>
  <c r="J39" i="196"/>
  <c r="J43" i="196" s="1"/>
  <c r="J45" i="196" s="1"/>
  <c r="I90" i="338"/>
  <c r="I2" i="333"/>
  <c r="B51" i="100"/>
  <c r="M79" i="195"/>
  <c r="M104" i="195" s="1"/>
  <c r="I8" i="195"/>
  <c r="F79" i="195"/>
  <c r="F90" i="339" s="1"/>
  <c r="K21" i="280"/>
  <c r="K24" i="280" s="1"/>
  <c r="K26" i="280" s="1"/>
  <c r="J21" i="280"/>
  <c r="J24" i="280" s="1"/>
  <c r="J26" i="280" s="1"/>
  <c r="G21" i="280"/>
  <c r="G24" i="280" s="1"/>
  <c r="G26" i="280" s="1"/>
  <c r="I19" i="280"/>
  <c r="I20" i="280" s="1"/>
  <c r="I21" i="280" s="1"/>
  <c r="H42" i="193" l="1"/>
  <c r="H43" i="193" s="1"/>
  <c r="G47" i="280" s="1"/>
  <c r="I42" i="193"/>
  <c r="I43" i="193" s="1"/>
  <c r="G42" i="193"/>
  <c r="G43" i="193" s="1"/>
  <c r="F47" i="280" s="1"/>
  <c r="F42" i="193"/>
  <c r="F43" i="193" s="1"/>
  <c r="E47" i="280" s="1"/>
  <c r="E43" i="193"/>
  <c r="D47" i="280" s="1"/>
  <c r="J42" i="193"/>
  <c r="J43" i="193" s="1"/>
  <c r="M90" i="339"/>
  <c r="J79" i="339"/>
  <c r="J8" i="195"/>
  <c r="M90" i="338"/>
  <c r="G79" i="195"/>
  <c r="C104" i="195"/>
  <c r="C90" i="338"/>
  <c r="D79" i="195"/>
  <c r="D104" i="195" s="1"/>
  <c r="K8" i="338"/>
  <c r="K79" i="338" s="1"/>
  <c r="D90" i="338"/>
  <c r="F90" i="338"/>
  <c r="F104" i="195"/>
  <c r="E79" i="195"/>
  <c r="E104" i="195" s="1"/>
  <c r="E90" i="339"/>
  <c r="K8" i="339"/>
  <c r="I22" i="280"/>
  <c r="H23" i="280"/>
  <c r="K79" i="339" l="1"/>
  <c r="K8" i="195"/>
  <c r="G104" i="195"/>
  <c r="G90" i="338"/>
  <c r="D90" i="339"/>
  <c r="G90" i="339"/>
  <c r="E90" i="338"/>
  <c r="E32" i="191"/>
  <c r="K42" i="193"/>
  <c r="K43" i="193" s="1"/>
  <c r="J90" i="339"/>
  <c r="J79" i="195"/>
  <c r="H47" i="280"/>
  <c r="I47" i="280" s="1"/>
  <c r="I23" i="280"/>
  <c r="I24" i="280" s="1"/>
  <c r="H24" i="280"/>
  <c r="H25" i="280" s="1"/>
  <c r="J104" i="195" l="1"/>
  <c r="J90" i="338"/>
  <c r="F32" i="191"/>
  <c r="L42" i="193"/>
  <c r="L43" i="193" s="1"/>
  <c r="J47" i="280"/>
  <c r="K79" i="195"/>
  <c r="K90" i="339"/>
  <c r="I25" i="280"/>
  <c r="I26" i="280" s="1"/>
  <c r="H26" i="280"/>
  <c r="K47" i="280" l="1"/>
  <c r="G32" i="191"/>
  <c r="K104" i="195"/>
  <c r="K90" i="338"/>
</calcChain>
</file>

<file path=xl/sharedStrings.xml><?xml version="1.0" encoding="utf-8"?>
<sst xmlns="http://schemas.openxmlformats.org/spreadsheetml/2006/main" count="1762" uniqueCount="938">
  <si>
    <t>Remuneration of Board Members</t>
  </si>
  <si>
    <t>Schedule of funding diligence</t>
  </si>
  <si>
    <t>Other expenditure</t>
  </si>
  <si>
    <t>Present value</t>
  </si>
  <si>
    <t>Monetary Assets/Current Liabilities</t>
  </si>
  <si>
    <t>Revenue Management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</si>
  <si>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</si>
  <si>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</si>
  <si>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</si>
  <si>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</si>
  <si>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</si>
  <si>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</si>
  <si>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E</t>
  </si>
  <si>
    <t>F</t>
  </si>
  <si>
    <t>G</t>
  </si>
  <si>
    <t>(Available cash + Investments)/monthly fixed operational expenditure</t>
  </si>
  <si>
    <t>Finance charges</t>
  </si>
  <si>
    <t>Other revenue</t>
  </si>
  <si>
    <t>Non current assets</t>
  </si>
  <si>
    <t>LIABILITIES</t>
  </si>
  <si>
    <t>Non current liabilities</t>
  </si>
  <si>
    <t>Total non current liabilities</t>
  </si>
  <si>
    <t>Total current liabilities</t>
  </si>
  <si>
    <t>Nat. or Prov. Govt</t>
  </si>
  <si>
    <t>Multi-year capital</t>
  </si>
  <si>
    <t>Cash/cash equivalents at the year end</t>
  </si>
  <si>
    <t xml:space="preserve"> - Adjustments Budget - Month YYYY</t>
  </si>
  <si>
    <t>Biological assets</t>
  </si>
  <si>
    <t>Taxation</t>
  </si>
  <si>
    <t>Annual Debtors Collection Rate (Payment Level %)</t>
  </si>
  <si>
    <t>Last 12 Mths Receipts/ Last 12 Mths Billing</t>
  </si>
  <si>
    <t>Outstanding Debtors to Revenue</t>
  </si>
  <si>
    <t>Internally generated funds</t>
  </si>
  <si>
    <t>Employee costs</t>
  </si>
  <si>
    <t>C</t>
  </si>
  <si>
    <t>Public contributions &amp; donations</t>
  </si>
  <si>
    <t>Surplus/ (Deficit) for the yr/period</t>
  </si>
  <si>
    <t>Depreciation and debt impairment</t>
  </si>
  <si>
    <t>Unit of measurement</t>
  </si>
  <si>
    <t>Year11</t>
  </si>
  <si>
    <t>Year12</t>
  </si>
  <si>
    <t>Year13</t>
  </si>
  <si>
    <t>Year14</t>
  </si>
  <si>
    <t>Year15</t>
  </si>
  <si>
    <t>Revenue By Source</t>
  </si>
  <si>
    <t>Expenditure By Type</t>
  </si>
  <si>
    <t>Total Expenditure</t>
  </si>
  <si>
    <t>Surplus/(Deficit)</t>
  </si>
  <si>
    <t>Street Lighting</t>
  </si>
  <si>
    <t>Gas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</si>
  <si>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</si>
  <si>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</si>
  <si>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</si>
  <si>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</si>
  <si>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</si>
  <si>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</si>
  <si>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</si>
  <si>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Munishort</t>
  </si>
  <si>
    <t>Community wealth/Equity</t>
  </si>
  <si>
    <t>Contributions of PPE</t>
  </si>
  <si>
    <t>Water Distribution Losses</t>
  </si>
  <si>
    <t>Electricity Distribution Losses</t>
  </si>
  <si>
    <t>Head40</t>
  </si>
  <si>
    <t>Head41</t>
  </si>
  <si>
    <t>Head42</t>
  </si>
  <si>
    <t>Name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</si>
  <si>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</si>
  <si>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</si>
  <si>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</si>
  <si>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</si>
  <si>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</si>
  <si>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2. s57 of the Systems Act</t>
  </si>
  <si>
    <t>2004/05</t>
  </si>
  <si>
    <t>Audited Outcome</t>
  </si>
  <si>
    <t>Quarter ended 30 June</t>
  </si>
  <si>
    <t>Head35</t>
  </si>
  <si>
    <t>Quarter ended 30 September</t>
  </si>
  <si>
    <t>B</t>
  </si>
  <si>
    <t>Current assets/current liabilities</t>
  </si>
  <si>
    <t>Accrued interest for the month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</si>
  <si>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</si>
  <si>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</si>
  <si>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</si>
  <si>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</si>
  <si>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</si>
  <si>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</si>
  <si>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</si>
  <si>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</si>
  <si>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</si>
  <si>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Libraries</t>
  </si>
  <si>
    <t>Description of financial indicator</t>
  </si>
  <si>
    <t>2006/07</t>
  </si>
  <si>
    <t>Refuse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</si>
  <si>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</si>
  <si>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</si>
  <si>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</si>
  <si>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</si>
  <si>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</si>
  <si>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</si>
  <si>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</si>
  <si>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</si>
  <si>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Accumulated Surplus/(Deficit)</t>
  </si>
  <si>
    <t>Ref</t>
  </si>
  <si>
    <t>Total sources of capital funds</t>
  </si>
  <si>
    <t>Head48</t>
  </si>
  <si>
    <t>Loss on disposal of PPE</t>
  </si>
  <si>
    <t>Head1A</t>
  </si>
  <si>
    <t>A</t>
  </si>
  <si>
    <t>2. Revisions approved in accordance with MFMA section 87(6a)</t>
  </si>
  <si>
    <t>2. The target impact of revisions approved in accordance with MFMA section 87(6a)</t>
  </si>
  <si>
    <t>3. The target impact of expenditure of additional allocations from the Parent Municipality in accordance with MFMA section 87(6b)</t>
  </si>
  <si>
    <t>4. The target impact of revisions approved in accordance approved in accordance with MFMA section 87(6c)</t>
  </si>
  <si>
    <t>1. If benefits in kind are provided (e.g. provision of living quarters) the full market value must be shown as the cost to the municipality</t>
  </si>
  <si>
    <t>4. The target impact of revisions approved in accordance with MFMA section 87(6a)</t>
  </si>
  <si>
    <t>5. The target impact of expenditure of additional allocations from the Parent Municipality in accordance with MFMA section 87(6b)</t>
  </si>
  <si>
    <t>6. The target impact of revisions approved in accordance approved in accordance with MFMA section 87(6c)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</si>
  <si>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</si>
  <si>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</si>
  <si>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</si>
  <si>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</si>
  <si>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</si>
  <si>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</si>
  <si>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</si>
  <si>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</si>
  <si>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</si>
  <si>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</si>
  <si>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</si>
  <si>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check</t>
  </si>
  <si>
    <t>Civic Land and Buildings</t>
  </si>
  <si>
    <t>Fire</t>
  </si>
  <si>
    <t>Conservancy</t>
  </si>
  <si>
    <t>Ambulances</t>
  </si>
  <si>
    <t>Buses</t>
  </si>
  <si>
    <t>D</t>
  </si>
  <si>
    <t>LTFS</t>
  </si>
  <si>
    <t>Check</t>
  </si>
  <si>
    <t>Expiry date of investment</t>
  </si>
  <si>
    <t>Total capital expenditure</t>
  </si>
  <si>
    <t>Original Budget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</si>
  <si>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</si>
  <si>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</si>
  <si>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</si>
  <si>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</si>
  <si>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</si>
  <si>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</si>
  <si>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</si>
  <si>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Year10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</si>
  <si>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</si>
  <si>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</si>
  <si>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</si>
  <si>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</si>
  <si>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</si>
  <si>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</si>
  <si>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</si>
  <si>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</si>
  <si>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Head49</t>
  </si>
  <si>
    <t>Head50</t>
  </si>
  <si>
    <t>Virement</t>
  </si>
  <si>
    <t>Total Outstanding Debtors to Annual Revenue</t>
  </si>
  <si>
    <t>Current assets/current liabilities less debtors &gt; 90 days</t>
  </si>
  <si>
    <t>Current Ratio adjusted for debtors</t>
  </si>
  <si>
    <t>Project number</t>
  </si>
  <si>
    <t>New or renewal</t>
  </si>
  <si>
    <t>Project information</t>
  </si>
  <si>
    <t>Ward location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</si>
  <si>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</si>
  <si>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</si>
  <si>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</si>
  <si>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</si>
  <si>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</si>
  <si>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</si>
  <si>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</si>
  <si>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</si>
  <si>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</si>
  <si>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Municipal Entities mid-year review and adjusted budget schedules</t>
  </si>
  <si>
    <t>Asset Class</t>
  </si>
  <si>
    <t>i. Debt coverage</t>
  </si>
  <si>
    <t>iii. Cost coverage</t>
  </si>
  <si>
    <t>Forecast Financial Position</t>
  </si>
  <si>
    <t>Cash1</t>
  </si>
  <si>
    <t>Cash2</t>
  </si>
  <si>
    <t>Muni</t>
  </si>
  <si>
    <t>Head1B</t>
  </si>
  <si>
    <t>Head26</t>
  </si>
  <si>
    <t>Vote Description</t>
  </si>
  <si>
    <t>VDesc</t>
  </si>
  <si>
    <t>Head27</t>
  </si>
  <si>
    <t>Depreciation &amp; asset impairment</t>
  </si>
  <si>
    <t>Head55</t>
  </si>
  <si>
    <t>Borrowed funding of capital expenditure</t>
  </si>
  <si>
    <t>MEAB8</t>
  </si>
  <si>
    <t>MEABsum</t>
  </si>
  <si>
    <t>Dividends</t>
  </si>
  <si>
    <t>R thousands</t>
  </si>
  <si>
    <t>Heritage assets</t>
  </si>
  <si>
    <t>Investment properties</t>
  </si>
  <si>
    <t>Other assets</t>
  </si>
  <si>
    <t>Remuneration</t>
  </si>
  <si>
    <t>Municipal Vote/Capital project</t>
  </si>
  <si>
    <t>Description</t>
  </si>
  <si>
    <t>YTD  Actual 31 Dec</t>
  </si>
  <si>
    <t>YTD  Budget 31 Dec</t>
  </si>
  <si>
    <t>Head2A</t>
  </si>
  <si>
    <t>Budget Cash Flow</t>
  </si>
  <si>
    <t>Forecast Cash Flow</t>
  </si>
  <si>
    <t>Expenditure includes repairs &amp; maintenance of R'000</t>
  </si>
  <si>
    <t>RandM</t>
  </si>
  <si>
    <t>Grants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</si>
  <si>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</si>
  <si>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</si>
  <si>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</si>
  <si>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</si>
  <si>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</si>
  <si>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</si>
  <si>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</si>
  <si>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</si>
  <si>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</si>
  <si>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</si>
  <si>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</si>
  <si>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</si>
  <si>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</si>
  <si>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</si>
  <si>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</si>
  <si>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</si>
  <si>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</si>
  <si>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5. Revisions approved in accordance approved in accordance with MFMA section 87(6d)</t>
  </si>
  <si>
    <t>6. F = B + C + D + E</t>
  </si>
  <si>
    <t>7. Adjusted Budget G = (A or A1/2 etc) + F</t>
  </si>
  <si>
    <t>5. The target impact of revisions approved in accordance approved in accordance with MFMA section 87(6d)</t>
  </si>
  <si>
    <t>8. The format of the objectives are as negotiated between the entity and the municipality when the budget was tabled</t>
  </si>
  <si>
    <t>9. Only show adjustments to the performance targets affected by an adjustments budget change</t>
  </si>
  <si>
    <t>7. The target impact of revisions approved in accordance approved in accordance with MFMA section 87(6d)</t>
  </si>
  <si>
    <t>8. F = B + C + D + E</t>
  </si>
  <si>
    <t>9. Adjusted Budget G = (A or A1/2 etc) + F</t>
  </si>
  <si>
    <t>Head57</t>
  </si>
  <si>
    <t xml:space="preserve">Month DD, YYYY - </t>
  </si>
  <si>
    <t>YearTD actual</t>
  </si>
  <si>
    <t>YearTD budget</t>
  </si>
  <si>
    <t>Specialised vehicles</t>
  </si>
  <si>
    <t>Other</t>
  </si>
  <si>
    <t>Long Term Borrowing/ Funds &amp; Reserves</t>
  </si>
  <si>
    <t>check balance</t>
  </si>
  <si>
    <t>CASH FLOWS FROM INVESTING ACTIVITIES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</si>
  <si>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</si>
  <si>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</si>
  <si>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</si>
  <si>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</si>
  <si>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</si>
  <si>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</si>
  <si>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</si>
  <si>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</si>
  <si>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</si>
  <si>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</si>
  <si>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Head39</t>
  </si>
  <si>
    <t>Monthly actual</t>
  </si>
  <si>
    <t>Financial Performance</t>
  </si>
  <si>
    <t>Standard nomenclature</t>
  </si>
  <si>
    <t>Repairs &amp; Maintenance</t>
  </si>
  <si>
    <t>Interest &amp; Depreciation</t>
  </si>
  <si>
    <t>Employee costs/Total Revenue - capital revenue</t>
  </si>
  <si>
    <t>R&amp;M/Total Revenue - capital revenue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</si>
  <si>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</si>
  <si>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</si>
  <si>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</si>
  <si>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</si>
  <si>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</si>
  <si>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</si>
  <si>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</si>
  <si>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</si>
  <si>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Basis of calculation</t>
  </si>
  <si>
    <t>NET ASSETS</t>
  </si>
  <si>
    <t>TOTAL ASSETS</t>
  </si>
  <si>
    <t>Cash/cash equivalents at the year end:</t>
  </si>
  <si>
    <t>Borrowing</t>
  </si>
  <si>
    <t>Clinics</t>
  </si>
  <si>
    <t>Museums &amp; Art Galleries</t>
  </si>
  <si>
    <t>July</t>
  </si>
  <si>
    <t>Head43</t>
  </si>
  <si>
    <t>YTD variance</t>
  </si>
  <si>
    <t>1. Delete if not an electricity entity</t>
  </si>
  <si>
    <t>2. Delete if not an water entity</t>
  </si>
  <si>
    <t>Change</t>
  </si>
  <si>
    <t xml:space="preserve"> Asset Sub-Class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</si>
  <si>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</si>
  <si>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</si>
  <si>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</si>
  <si>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</si>
  <si>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Cash flow</t>
  </si>
  <si>
    <t>Mid-year review/Adjusted Budget</t>
  </si>
  <si>
    <t>MEAB1</t>
  </si>
  <si>
    <t>MEAB2</t>
  </si>
  <si>
    <t>MEAB3</t>
  </si>
  <si>
    <t>MEAB4</t>
  </si>
  <si>
    <t>MEAB5</t>
  </si>
  <si>
    <t>MEAB6</t>
  </si>
  <si>
    <t>Head56</t>
  </si>
  <si>
    <t>Total Adjusts.</t>
  </si>
  <si>
    <t>Total Long-term Borrowing/ Total Assets</t>
  </si>
  <si>
    <t>% of Creditors Paid Within Terms (within MFMA s 65(e))</t>
  </si>
  <si>
    <t>ii. O/S Service Debtors to Revenue</t>
  </si>
  <si>
    <t>Period of investment</t>
  </si>
  <si>
    <t>Type of investment</t>
  </si>
  <si>
    <t>Yield
%</t>
  </si>
  <si>
    <t>Agricultural assets</t>
  </si>
  <si>
    <t>Months</t>
  </si>
  <si>
    <t>Borrowing to Asset Ratio</t>
  </si>
  <si>
    <t>Capital Charges to Operating Expenditure</t>
  </si>
  <si>
    <t>Current Ratio</t>
  </si>
  <si>
    <t>Financial viability indicators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</si>
  <si>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</si>
  <si>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</si>
  <si>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</si>
  <si>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</si>
  <si>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</si>
  <si>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</si>
  <si>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</si>
  <si>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A1</t>
  </si>
  <si>
    <t>3. Only complete if a previous adjusted budget has been approved in the same financial year. Add an additional column for each previously approved Adjustments Budget</t>
  </si>
  <si>
    <t>List sub-class</t>
  </si>
  <si>
    <t>Medium Term Revenue and Expenditure Framework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</si>
  <si>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</si>
  <si>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</si>
  <si>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</si>
  <si>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</si>
  <si>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</si>
  <si>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</si>
  <si>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</si>
  <si>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</si>
  <si>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Cash/cash equivalents at the year begin: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</si>
  <si>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</si>
  <si>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</si>
  <si>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</si>
  <si>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</si>
  <si>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</si>
  <si>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</si>
  <si>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Bulk purchases</t>
  </si>
  <si>
    <t>Contracted services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</si>
  <si>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</si>
  <si>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</si>
  <si>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</si>
  <si>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</si>
  <si>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</si>
  <si>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</si>
  <si>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</si>
  <si>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Market value</t>
  </si>
  <si>
    <t>Begin</t>
  </si>
  <si>
    <t>End</t>
  </si>
  <si>
    <t>Interest</t>
  </si>
  <si>
    <t>Summary of Employee and Board Member remuneration</t>
  </si>
  <si>
    <t>Dividends paid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</si>
  <si>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</si>
  <si>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</si>
  <si>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</si>
  <si>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</si>
  <si>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</si>
  <si>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Total investments</t>
  </si>
  <si>
    <t>1. Yield is calculated as the annualised equivalent</t>
  </si>
  <si>
    <t>MEAB7</t>
  </si>
  <si>
    <t>Surplus/ (Deficit) for the year</t>
  </si>
  <si>
    <t>Investments by maturity
Name of institution &amp; investment ID</t>
  </si>
  <si>
    <t>Receipts</t>
  </si>
  <si>
    <t>Payments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</si>
  <si>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</si>
  <si>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</si>
  <si>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</si>
  <si>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</si>
  <si>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</si>
  <si>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</si>
  <si>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August</t>
  </si>
  <si>
    <t>Sept.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</si>
  <si>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</si>
  <si>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</si>
  <si>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</si>
  <si>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</si>
  <si>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</si>
  <si>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</si>
  <si>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</si>
  <si>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</si>
  <si>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</si>
  <si>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Other materials</t>
  </si>
  <si>
    <t>Interest &amp; Depreciation /Operating Expenditure</t>
  </si>
  <si>
    <t>Dividends received</t>
  </si>
  <si>
    <t>Proceeds on disposal of PPE</t>
  </si>
  <si>
    <t>Head46</t>
  </si>
  <si>
    <t>Program/Project description</t>
  </si>
  <si>
    <t>Total Project Estimate</t>
  </si>
  <si>
    <t>Capital expenditure &amp; funds sources</t>
  </si>
  <si>
    <t>Property rates</t>
  </si>
  <si>
    <t>Head2</t>
  </si>
  <si>
    <t>Head3</t>
  </si>
  <si>
    <t>Head4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</si>
  <si>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</si>
  <si>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</si>
  <si>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</si>
  <si>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</si>
  <si>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</si>
  <si>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</si>
  <si>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</si>
  <si>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</si>
  <si>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</si>
  <si>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</si>
  <si>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</si>
  <si>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</si>
  <si>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</si>
  <si>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</si>
  <si>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</si>
  <si>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</si>
  <si>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</si>
  <si>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</si>
  <si>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</si>
  <si>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</si>
  <si>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Borrowing long term/refinancing</t>
  </si>
  <si>
    <t>MEAB9</t>
  </si>
  <si>
    <t>MEAB11</t>
  </si>
  <si>
    <t>Transfers recognised - capital</t>
  </si>
  <si>
    <t>Surplus/(Deficit) before taxation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</si>
  <si>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</si>
  <si>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</si>
  <si>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</si>
  <si>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</si>
  <si>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</si>
  <si>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</si>
  <si>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</si>
  <si>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</si>
  <si>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</si>
  <si>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1. Only complete if a previous adjusted budget has been approved in the same financial year. Add an additional column for each previously approved Adjustments Budget</t>
  </si>
  <si>
    <t>Head59</t>
  </si>
  <si>
    <t>3. Expenditure of additional allocations from the Parent Municipality in accordance with MFMA section 87(6b)</t>
  </si>
  <si>
    <t>4. Revisions approved in accordance approved in accordance with MFMA section 87(6c)</t>
  </si>
  <si>
    <t>Head3A</t>
  </si>
  <si>
    <t>TOTAL LIABILITIES</t>
  </si>
  <si>
    <t>Debt to Equity</t>
  </si>
  <si>
    <t>Longstanding Debtors Reduction Due To Recovery</t>
  </si>
  <si>
    <t>Debtors &gt; 12 Mths Recovered/Total Debtors &gt; 12 Months Old</t>
  </si>
  <si>
    <t>Creditors Management</t>
  </si>
  <si>
    <t>Creditors System Efficiency</t>
  </si>
  <si>
    <t>Board Members of Entities</t>
  </si>
  <si>
    <t>Basic Salaries</t>
  </si>
  <si>
    <t>Pension Contributions</t>
  </si>
  <si>
    <t>Medical Aid Contributions</t>
  </si>
  <si>
    <t>Housing allowance</t>
  </si>
  <si>
    <t>In-kind benefits</t>
  </si>
  <si>
    <t>Board Fees</t>
  </si>
  <si>
    <t>Sub Total - Board Members of Entities</t>
  </si>
  <si>
    <t>% increase</t>
  </si>
  <si>
    <t>Senior Managers of Entities</t>
  </si>
  <si>
    <t>Other benefits or allowances</t>
  </si>
  <si>
    <t>Performance Bonus</t>
  </si>
  <si>
    <t>Sub Total - Senior Managers of Entities</t>
  </si>
  <si>
    <t>Other Staff of Entities</t>
  </si>
  <si>
    <t>Overtime</t>
  </si>
  <si>
    <t>Sub Total - Other Staff of Entities</t>
  </si>
  <si>
    <t>Total Municipal Entities remuneration</t>
  </si>
  <si>
    <t>Grants:</t>
  </si>
  <si>
    <t>National - opex</t>
  </si>
  <si>
    <t>Provincial - opex</t>
  </si>
  <si>
    <t>National - capex</t>
  </si>
  <si>
    <t>Provincial - capex</t>
  </si>
  <si>
    <t>2005/06</t>
  </si>
  <si>
    <t>2007/08</t>
  </si>
  <si>
    <t>2008/09</t>
  </si>
  <si>
    <t xml:space="preserve">  Equitable share</t>
  </si>
  <si>
    <t xml:space="preserve">  Health subsidy</t>
  </si>
  <si>
    <t xml:space="preserve">  Municipal Infrastructure (MIG)</t>
  </si>
  <si>
    <t xml:space="preserve">  Levy replacement</t>
  </si>
  <si>
    <t xml:space="preserve">  Ambulance subsidy</t>
  </si>
  <si>
    <t xml:space="preserve">  Public Transport</t>
  </si>
  <si>
    <t xml:space="preserve">  Finance Management</t>
  </si>
  <si>
    <t xml:space="preserve">  Housing</t>
  </si>
  <si>
    <t xml:space="preserve">  Public Works</t>
  </si>
  <si>
    <t>Current Year 2006/07</t>
  </si>
  <si>
    <t>Current Year 2007/08</t>
  </si>
  <si>
    <t>Current Year 2008/09</t>
  </si>
  <si>
    <t>Current Year 2009/10</t>
  </si>
  <si>
    <t xml:space="preserve">  Municipal Systems Improvement</t>
  </si>
  <si>
    <t xml:space="preserve">  Sports and Recreation</t>
  </si>
  <si>
    <t xml:space="preserve">  Sport and Recreation</t>
  </si>
  <si>
    <t>2009/10</t>
  </si>
  <si>
    <t xml:space="preserve">  Restructuring</t>
  </si>
  <si>
    <t xml:space="preserve">  Water Affairs</t>
  </si>
  <si>
    <t>2007/08 Medium Term Revenue &amp; Expenditure Framework</t>
  </si>
  <si>
    <t>2008/09 Medium Term Revenue &amp; Expenditure Framework</t>
  </si>
  <si>
    <t>2009/10 Medium Term Revenue &amp; Expenditure Framework</t>
  </si>
  <si>
    <t xml:space="preserve">  Department of Water Affairs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</si>
  <si>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</si>
  <si>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</si>
  <si>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</si>
  <si>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</si>
  <si>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</si>
  <si>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</si>
  <si>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</si>
  <si>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</si>
  <si>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</si>
  <si>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Forecast 2022/23</t>
  </si>
  <si>
    <t>Forecast 2023/24</t>
  </si>
  <si>
    <t>Forecast 2024/25</t>
  </si>
  <si>
    <t>Adjustments Budget</t>
  </si>
  <si>
    <t>Annual target 2008/09</t>
  </si>
  <si>
    <t>Annual target 2009/10</t>
  </si>
  <si>
    <t>Annual target 2010/11</t>
  </si>
  <si>
    <t>Revised target 2008/09</t>
  </si>
  <si>
    <t>Revised target 2009/10</t>
  </si>
  <si>
    <t>Revised target 2010/11</t>
  </si>
  <si>
    <t>NOTE: This sheet should not be directly amended - select headings from sheet 'Start'</t>
  </si>
  <si>
    <t>Prior year -1</t>
  </si>
  <si>
    <t>Prior year -2</t>
  </si>
  <si>
    <t>Prior year -3</t>
  </si>
  <si>
    <t>Year in which budget is being prepared</t>
  </si>
  <si>
    <t>MTREF name</t>
  </si>
  <si>
    <t>1st year of MTREF</t>
  </si>
  <si>
    <t>2nd year of MTREF</t>
  </si>
  <si>
    <t>3rd year of MTREF</t>
  </si>
  <si>
    <t>1st yr of long term forecast</t>
  </si>
  <si>
    <t>Next yr of long term forecast</t>
  </si>
  <si>
    <t>Supporting calculations and data:</t>
  </si>
  <si>
    <t>Debtors &gt; 90 days</t>
  </si>
  <si>
    <t>Last 12 months receipts</t>
  </si>
  <si>
    <t>Last 12 months billing</t>
  </si>
  <si>
    <t>Debtors &gt; 12 Mths Recovered</t>
  </si>
  <si>
    <t>2. Bulk purchases - electricity</t>
  </si>
  <si>
    <t>2. Bulk purchases - water</t>
  </si>
  <si>
    <t>Debt service payments due within financial year</t>
  </si>
  <si>
    <t>Annual revenue received for services</t>
  </si>
  <si>
    <t>Monthly fixed operational expenditure</t>
  </si>
  <si>
    <t xml:space="preserve">Table E1 </t>
  </si>
  <si>
    <t xml:space="preserve">Table E2 </t>
  </si>
  <si>
    <t xml:space="preserve">Table E3 </t>
  </si>
  <si>
    <t xml:space="preserve">Table E4 </t>
  </si>
  <si>
    <t xml:space="preserve">Table E5 </t>
  </si>
  <si>
    <t>Total Revenue (excluding capital transfers and contributions)</t>
  </si>
  <si>
    <t>Transfers and grants</t>
  </si>
  <si>
    <t>Contributions recognised - capital &amp; contributed assets</t>
  </si>
  <si>
    <t>Surplus/(Deficit) after capital transfers &amp; contributions</t>
  </si>
  <si>
    <t>Performance target description</t>
  </si>
  <si>
    <t>Motor vehicle allowance</t>
  </si>
  <si>
    <t>Other benefits and allowances</t>
  </si>
  <si>
    <t>Cell phone allowance</t>
  </si>
  <si>
    <t>Suppliers, employees and other</t>
  </si>
  <si>
    <t>Borrowing long term/refinancing/short term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</si>
  <si>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</si>
  <si>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</si>
  <si>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</si>
  <si>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</si>
  <si>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</si>
  <si>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</si>
  <si>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</si>
  <si>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</si>
  <si>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</si>
  <si>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</si>
  <si>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</si>
  <si>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</si>
  <si>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</si>
  <si>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Transportation</t>
  </si>
  <si>
    <t>Parks &amp; gardens</t>
  </si>
  <si>
    <t>Sportsfields &amp; stadia</t>
  </si>
  <si>
    <t>Swimming pools</t>
  </si>
  <si>
    <t>Community halls</t>
  </si>
  <si>
    <t>Recreational facilities</t>
  </si>
  <si>
    <t>Fire, safety &amp; emergency</t>
  </si>
  <si>
    <t>Security and policing</t>
  </si>
  <si>
    <t>Cemeteries</t>
  </si>
  <si>
    <t>Social rental housing</t>
  </si>
  <si>
    <t>Buildings</t>
  </si>
  <si>
    <t>Housing development</t>
  </si>
  <si>
    <t>General vehicles</t>
  </si>
  <si>
    <t>Computers - hardware/equipment</t>
  </si>
  <si>
    <t>Furniture and other office equipment</t>
  </si>
  <si>
    <t>Other Buildings</t>
  </si>
  <si>
    <t>Other Land</t>
  </si>
  <si>
    <t>Surplus Assets - (Investment or Inventory)</t>
  </si>
  <si>
    <r>
      <t xml:space="preserve">Other </t>
    </r>
    <r>
      <rPr>
        <i/>
        <sz val="8"/>
        <rFont val="Arial Narrow"/>
        <family val="2"/>
      </rPr>
      <t>(list sub-class)</t>
    </r>
  </si>
  <si>
    <t>1. Total Capital Expenditure by Asset Category must reconcile to total capital expenditure shown in Capital budget</t>
  </si>
  <si>
    <t xml:space="preserve">Bulk purchases </t>
  </si>
  <si>
    <t>8. Cash equivalents includes investments with maturities of 3 months or less</t>
  </si>
  <si>
    <t>Yes</t>
  </si>
  <si>
    <t>No</t>
  </si>
  <si>
    <t>Type of Entities Range:</t>
  </si>
  <si>
    <t>Parent Municapality</t>
  </si>
  <si>
    <t>Consolidated Information</t>
  </si>
  <si>
    <t>Date of Adjustment</t>
  </si>
  <si>
    <t>MTREF Range:</t>
  </si>
  <si>
    <t>MTREF Linked:</t>
  </si>
  <si>
    <t>MTREF:</t>
  </si>
  <si>
    <t>Fin Year:</t>
  </si>
  <si>
    <t xml:space="preserve">Supporting Table SE2  </t>
  </si>
  <si>
    <t xml:space="preserve">Supporting Table SE1  </t>
  </si>
  <si>
    <t xml:space="preserve">Supporting Table SE3  </t>
  </si>
  <si>
    <t xml:space="preserve">Supporting Table SE4  </t>
  </si>
  <si>
    <t xml:space="preserve">Supporting Table SE5  </t>
  </si>
  <si>
    <t xml:space="preserve">Supporting Table SE7  </t>
  </si>
  <si>
    <t>MEAB10b</t>
  </si>
  <si>
    <t>MEAB10c</t>
  </si>
  <si>
    <t>MEAB10a</t>
  </si>
  <si>
    <t xml:space="preserve">Supporting Table SE6a  </t>
  </si>
  <si>
    <t>Supporting Table SE6b</t>
  </si>
  <si>
    <t>Supporting Table SE6c</t>
  </si>
  <si>
    <t>Share capital</t>
  </si>
  <si>
    <t/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</si>
  <si>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</si>
  <si>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</si>
  <si>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</si>
  <si>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</si>
  <si>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</si>
  <si>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</si>
  <si>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</si>
  <si>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</si>
  <si>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</si>
  <si>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</si>
  <si>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DC14 Ukhahlamba</t>
  </si>
  <si>
    <t>DC15 O .R. Tambo</t>
  </si>
  <si>
    <t>DC16 Xhariep</t>
  </si>
  <si>
    <t>FS FREE STATE</t>
  </si>
  <si>
    <t>DC17 Motheo</t>
  </si>
  <si>
    <t>DC18 Lejweleputswa</t>
  </si>
  <si>
    <t>DC19 Thabo Mofutsanyana</t>
  </si>
  <si>
    <t>DC2 Cape Winelands DM</t>
  </si>
  <si>
    <t>DC20 Fezile Dabi</t>
  </si>
  <si>
    <t>DC21 Ugu</t>
  </si>
  <si>
    <t>KZ KWAZULU-NATAL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</si>
  <si>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</si>
  <si>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</si>
  <si>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</si>
  <si>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</si>
  <si>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</si>
  <si>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</si>
  <si>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</si>
  <si>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</si>
  <si>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</si>
  <si>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</si>
  <si>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</si>
  <si>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</si>
  <si>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</si>
  <si>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</si>
  <si>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LP LIMPOPO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</si>
  <si>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</si>
  <si>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</si>
  <si>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</si>
  <si>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</si>
  <si>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</si>
  <si>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</si>
  <si>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</si>
  <si>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</si>
  <si>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</si>
  <si>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</si>
  <si>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</si>
  <si>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</si>
  <si>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</si>
  <si>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DC45 Kgalagadi</t>
  </si>
  <si>
    <t>NC NORTHERN CAPE</t>
  </si>
  <si>
    <t>DC46 Metsweding</t>
  </si>
  <si>
    <t>DC47 Greater Sekhukhune</t>
  </si>
  <si>
    <t>DC48 West Rand</t>
  </si>
  <si>
    <t>DC5 Central Karoo</t>
  </si>
  <si>
    <t>DC6 Namakwa</t>
  </si>
  <si>
    <t>DC7 Karoo</t>
  </si>
  <si>
    <t>DC8 Siyanda</t>
  </si>
  <si>
    <t>DC9 Frances Baard</t>
  </si>
  <si>
    <t>EC000 Nelson Mandela Bay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</si>
  <si>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</si>
  <si>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</si>
  <si>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</si>
  <si>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</si>
  <si>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</si>
  <si>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</si>
  <si>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</si>
  <si>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</si>
  <si>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EC109 Koukamma</t>
  </si>
  <si>
    <t>EC121 Mbhashe</t>
  </si>
  <si>
    <t>EC122 Mnquma</t>
  </si>
  <si>
    <t>EC123 Great Kei</t>
  </si>
  <si>
    <t>EC124 Amahlathi</t>
  </si>
  <si>
    <t>EC125 Buffalo City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</si>
  <si>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</si>
  <si>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</si>
  <si>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</si>
  <si>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</si>
  <si>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</si>
  <si>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</si>
  <si>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</si>
  <si>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</si>
  <si>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</si>
  <si>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</si>
  <si>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</si>
  <si>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</si>
  <si>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</si>
  <si>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</si>
  <si>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</si>
  <si>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EC151 Mbizana</t>
  </si>
  <si>
    <t>EC152 Ntabankulu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</si>
  <si>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</si>
  <si>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</si>
  <si>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</si>
  <si>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</si>
  <si>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</si>
  <si>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</si>
  <si>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</si>
  <si>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</si>
  <si>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</si>
  <si>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</si>
  <si>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FS171 Naledi (Fs)</t>
  </si>
  <si>
    <t>FS172 Mangaung</t>
  </si>
  <si>
    <t>FS173 Mantsopa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</si>
  <si>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</si>
  <si>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</si>
  <si>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</si>
  <si>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</si>
  <si>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</si>
  <si>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</si>
  <si>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</si>
  <si>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</si>
  <si>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</si>
  <si>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</si>
  <si>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</si>
  <si>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</si>
  <si>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</si>
  <si>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</si>
  <si>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GT000 Ekurhuleni Metro</t>
  </si>
  <si>
    <t>GT001 City Of Johannesburg</t>
  </si>
  <si>
    <t>GT002 City Of Tshwane</t>
  </si>
  <si>
    <t>GT421 Emfuleni</t>
  </si>
  <si>
    <t>GT422 Midvaal</t>
  </si>
  <si>
    <t>GT423 Lesedi</t>
  </si>
  <si>
    <t>GT461 Nokeng Tsa Taemane</t>
  </si>
  <si>
    <t>GT462 Kungwini</t>
  </si>
  <si>
    <t>GT481 Mogale City</t>
  </si>
  <si>
    <t>GT482 Randfontein</t>
  </si>
  <si>
    <t>GT483 Westonaria</t>
  </si>
  <si>
    <t>KZN000 eThekwini</t>
  </si>
  <si>
    <t>KZN211 Vulamehlo</t>
  </si>
  <si>
    <t>KZN212 Umdoni</t>
  </si>
  <si>
    <t>KZN213 Umzumbe</t>
  </si>
  <si>
    <t>KZN214 uMuziwabantu</t>
  </si>
  <si>
    <t>KZN215 Ezingolweni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</si>
  <si>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</si>
  <si>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</si>
  <si>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</si>
  <si>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</si>
  <si>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</si>
  <si>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</si>
  <si>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</si>
  <si>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</si>
  <si>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</si>
  <si>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</si>
  <si>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</si>
  <si>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</si>
  <si>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</si>
  <si>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</si>
  <si>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</si>
  <si>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</si>
  <si>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</si>
  <si>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</si>
  <si>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</si>
  <si>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</si>
  <si>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</si>
  <si>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</si>
  <si>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</si>
  <si>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</si>
  <si>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</si>
  <si>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</si>
  <si>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</si>
  <si>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KZN273 The Big Five False Bay</t>
  </si>
  <si>
    <t>KZN274 Hlabisa</t>
  </si>
  <si>
    <t>KZN275 Mtubatuba</t>
  </si>
  <si>
    <t>KZN281 Mbonambi</t>
  </si>
  <si>
    <t>KZN282 uMhlathuze</t>
  </si>
  <si>
    <t>KZN283 Ntambanana</t>
  </si>
  <si>
    <t>KZN284 Umlalazi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</si>
  <si>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</si>
  <si>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</si>
  <si>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</si>
  <si>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</si>
  <si>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</si>
  <si>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</si>
  <si>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</si>
  <si>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</si>
  <si>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</si>
  <si>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</si>
  <si>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</si>
  <si>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</si>
  <si>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 LIMPOPO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</si>
  <si>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</si>
  <si>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</si>
  <si>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</si>
  <si>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</si>
  <si>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</si>
  <si>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</si>
  <si>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</si>
  <si>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</si>
  <si>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</si>
  <si>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</si>
  <si>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</si>
  <si>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</si>
  <si>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</si>
  <si>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</si>
  <si>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</si>
  <si>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</si>
  <si>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</si>
  <si>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</si>
  <si>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</si>
  <si>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LIM471 Greater Marble Hall</t>
  </si>
  <si>
    <t>LIM472 Elias Motsoaledi</t>
  </si>
  <si>
    <t>LIM473 Makhudutamaga</t>
  </si>
  <si>
    <t>LIM474 Fetakgomo</t>
  </si>
  <si>
    <t>LIM475 Greater Tubatse</t>
  </si>
  <si>
    <t>MP301 Albert Luthuli</t>
  </si>
  <si>
    <t>MP302 Msukaligwa</t>
  </si>
  <si>
    <t>MP303 Mkhondo</t>
  </si>
  <si>
    <t>MP304 Seme</t>
  </si>
  <si>
    <t>MP305 Lekwa</t>
  </si>
  <si>
    <t>MP306 Dipaleseng</t>
  </si>
  <si>
    <t>MP307 Govan Mbeki</t>
  </si>
  <si>
    <t>MP311 Delmas</t>
  </si>
  <si>
    <t>MP312 Emalahleni (Mp)</t>
  </si>
  <si>
    <t>MP313 Steve Tshwete</t>
  </si>
  <si>
    <t>MP314 Emakhazeni</t>
  </si>
  <si>
    <t>MP315 Thembisile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</si>
  <si>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</si>
  <si>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</si>
  <si>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</si>
  <si>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</si>
  <si>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</si>
  <si>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</si>
  <si>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</si>
  <si>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</si>
  <si>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</si>
  <si>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</si>
  <si>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</si>
  <si>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</si>
  <si>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</si>
  <si>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</si>
  <si>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</si>
  <si>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</si>
  <si>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</si>
  <si>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</si>
  <si>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</si>
  <si>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</si>
  <si>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</si>
  <si>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</si>
  <si>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</si>
  <si>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</si>
  <si>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</si>
  <si>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</si>
  <si>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</si>
  <si>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</si>
  <si>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</si>
  <si>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</si>
  <si>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NC451 Moshaweng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</si>
  <si>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</si>
  <si>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</si>
  <si>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</si>
  <si>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</si>
  <si>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</si>
  <si>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</si>
  <si>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</si>
  <si>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</si>
  <si>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</si>
  <si>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</si>
  <si>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</si>
  <si>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</si>
  <si>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NW391 Kagisano</t>
  </si>
  <si>
    <t>NW392 Naledi (Nw)</t>
  </si>
  <si>
    <t>NW393 Mamusa</t>
  </si>
  <si>
    <t>NW394 Greater Taung</t>
  </si>
  <si>
    <t>NW395 Molopo</t>
  </si>
  <si>
    <t>NW396 Lekwa-Teemane</t>
  </si>
  <si>
    <t>NW401 Ventersdorp</t>
  </si>
  <si>
    <t>NW402 Tlokwe</t>
  </si>
  <si>
    <t>NW403 City Of Matlosana</t>
  </si>
  <si>
    <t>NW404 Maquassi Hills</t>
  </si>
  <si>
    <t>NW405 Merafong City</t>
  </si>
  <si>
    <t>WC000 Cape Town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</si>
  <si>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</si>
  <si>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</si>
  <si>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</si>
  <si>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</si>
  <si>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</si>
  <si>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</si>
  <si>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</si>
  <si>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</si>
  <si>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</si>
  <si>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WC026 Breede River Winelands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</si>
  <si>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</si>
  <si>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</si>
  <si>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</si>
  <si>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</si>
  <si>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</si>
  <si>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</si>
  <si>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</si>
  <si>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</si>
  <si>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</si>
  <si>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</si>
  <si>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</si>
  <si>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</si>
  <si>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</si>
  <si>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</si>
  <si>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Transfers recognised - operational</t>
  </si>
  <si>
    <t>Borrowing/Capital expenditure excl. transfers and grants and contributions</t>
  </si>
  <si>
    <t>% Volume (Total units purchased + generated less total units sold)/Total units purchased + generated</t>
  </si>
  <si>
    <t>% Volume (Total units purchased + own source less total units sold)/Total units purchased + own source</t>
  </si>
  <si>
    <t>Transfers and Grants</t>
  </si>
  <si>
    <t>Increase (decrease) in consumer deposits</t>
  </si>
  <si>
    <t>Service charges - refuse revenue</t>
  </si>
  <si>
    <t>Contributions recognised - capital</t>
  </si>
  <si>
    <t>Capital expenditure on new assets by Asset Class/Sub-class</t>
  </si>
  <si>
    <t>Total Capital Expenditure on new assets</t>
  </si>
  <si>
    <t>1. Must reconcile with Budgeted Capital Expenditure</t>
  </si>
  <si>
    <t>2. Refer municipal budget requirements</t>
  </si>
  <si>
    <t>3. Adjusted programs/projects only</t>
  </si>
  <si>
    <t>List all capital projects grouped by Vote</t>
  </si>
  <si>
    <t>IDP Goal Code 2</t>
  </si>
  <si>
    <t>H</t>
  </si>
  <si>
    <t>Budget Year 2014/15</t>
  </si>
  <si>
    <t>Budget Year +1 2015/16</t>
  </si>
  <si>
    <t>Budget Year +2 2016/17</t>
  </si>
  <si>
    <t>Remuneration of Directors</t>
  </si>
  <si>
    <t>3. Expenditure includes repairs &amp; maintenance of:</t>
  </si>
  <si>
    <t>4. Previously described as 'bad or doubtful debts' - amounts shown should reflect the change in the provision for debt impairment</t>
  </si>
  <si>
    <t>5. All materials not part of 'bulk' e.g  road making materials, pipe, cable etc.</t>
  </si>
  <si>
    <r>
      <t xml:space="preserve">1. Revenue includes </t>
    </r>
    <r>
      <rPr>
        <i/>
        <u/>
        <sz val="8"/>
        <rFont val="Arial Narrow"/>
        <family val="2"/>
      </rPr>
      <t>sales</t>
    </r>
    <r>
      <rPr>
        <i/>
        <sz val="8"/>
        <rFont val="Arial Narrow"/>
        <family val="2"/>
      </rPr>
      <t xml:space="preserve"> of: (insert description)</t>
    </r>
  </si>
  <si>
    <t>Waste Management</t>
  </si>
  <si>
    <t>Funded by:</t>
  </si>
  <si>
    <t>National Government</t>
  </si>
  <si>
    <t>Provincial Government</t>
  </si>
  <si>
    <t>Parent Municipality</t>
  </si>
  <si>
    <t>District Municipality</t>
  </si>
  <si>
    <t>Total Capital Funding</t>
  </si>
  <si>
    <t>1. Municipalities may choose to appropriate for capital expenditure for three years or for one year (if one year appropriation projected expenditure required for yr2 and yr3).</t>
  </si>
  <si>
    <t xml:space="preserve">2. Include capital component of PPP unitary payment. </t>
  </si>
  <si>
    <t>3. Include finance leases and PPP capital funding component of unitary payment</t>
  </si>
  <si>
    <t>4. Total Capital Funding must balance with Total Capital Expenditure</t>
  </si>
  <si>
    <t>6. Include contributions from Public Entities; e.g. Eskom</t>
  </si>
  <si>
    <t>Agricultural</t>
  </si>
  <si>
    <t>Biological</t>
  </si>
  <si>
    <t>Intangible</t>
  </si>
  <si>
    <t>Other non-current assets</t>
  </si>
  <si>
    <t>Property rates, penalties &amp; collection charges</t>
  </si>
  <si>
    <t>Greater Tzaneen Development Agency</t>
  </si>
  <si>
    <t>29/02/2016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</si>
</sst>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%"/>
    <numFmt numFmtId="167" formatCode="#,###,;\(#,###,\)"/>
    <numFmt numFmtId="168" formatCode="_(* #,##0,_);_(* \(#,##0,\);_(* &quot;–&quot;?_);_(@_)"/>
  </numFmts>
  <fonts count="3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7" fillId="0" borderId="0"/>
    <xf numFmtId="0" fontId="1" fillId="23" borderId="7" applyNumberFormat="0" applyFont="0" applyAlignment="0" applyProtection="0"/>
    <xf numFmtId="0" fontId="32" fillId="20" borderId="8" applyNumberFormat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476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4" fillId="24" borderId="1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7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10" fillId="0" borderId="11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11" xfId="0" applyFont="1" applyBorder="1" applyAlignment="1">
      <alignment horizontal="left" indent="1"/>
    </xf>
    <xf numFmtId="0" fontId="7" fillId="0" borderId="11" xfId="0" applyFont="1" applyBorder="1"/>
    <xf numFmtId="168" fontId="7" fillId="0" borderId="0" xfId="0" applyNumberFormat="1" applyFont="1" applyBorder="1"/>
    <xf numFmtId="168" fontId="7" fillId="0" borderId="21" xfId="0" applyNumberFormat="1" applyFont="1" applyBorder="1"/>
    <xf numFmtId="168" fontId="7" fillId="0" borderId="22" xfId="0" applyNumberFormat="1" applyFont="1" applyBorder="1"/>
    <xf numFmtId="168" fontId="8" fillId="0" borderId="23" xfId="0" applyNumberFormat="1" applyFont="1" applyBorder="1"/>
    <xf numFmtId="168" fontId="8" fillId="0" borderId="0" xfId="0" applyNumberFormat="1" applyFont="1" applyBorder="1"/>
    <xf numFmtId="168" fontId="8" fillId="0" borderId="21" xfId="0" applyNumberFormat="1" applyFont="1" applyBorder="1"/>
    <xf numFmtId="0" fontId="8" fillId="0" borderId="24" xfId="0" applyFont="1" applyBorder="1"/>
    <xf numFmtId="168" fontId="8" fillId="0" borderId="25" xfId="0" applyNumberFormat="1" applyFont="1" applyBorder="1"/>
    <xf numFmtId="168" fontId="8" fillId="0" borderId="26" xfId="0" applyNumberFormat="1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 applyFill="1" applyBorder="1"/>
    <xf numFmtId="0" fontId="11" fillId="0" borderId="0" xfId="0" quotePrefix="1" applyFont="1" applyBorder="1"/>
    <xf numFmtId="0" fontId="8" fillId="0" borderId="0" xfId="0" applyFont="1" applyBorder="1"/>
    <xf numFmtId="167" fontId="8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64" fontId="7" fillId="0" borderId="0" xfId="28" applyNumberFormat="1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168" fontId="8" fillId="0" borderId="27" xfId="0" applyNumberFormat="1" applyFont="1" applyBorder="1"/>
    <xf numFmtId="168" fontId="8" fillId="0" borderId="28" xfId="0" applyNumberFormat="1" applyFont="1" applyBorder="1"/>
    <xf numFmtId="168" fontId="8" fillId="0" borderId="29" xfId="0" applyNumberFormat="1" applyFont="1" applyBorder="1"/>
    <xf numFmtId="168" fontId="8" fillId="0" borderId="30" xfId="0" applyNumberFormat="1" applyFont="1" applyBorder="1"/>
    <xf numFmtId="167" fontId="9" fillId="0" borderId="0" xfId="0" applyNumberFormat="1" applyFont="1" applyBorder="1"/>
    <xf numFmtId="0" fontId="11" fillId="0" borderId="0" xfId="0" applyFont="1" applyBorder="1"/>
    <xf numFmtId="0" fontId="9" fillId="0" borderId="0" xfId="0" applyFont="1" applyBorder="1"/>
    <xf numFmtId="0" fontId="11" fillId="0" borderId="11" xfId="0" applyFont="1" applyBorder="1" applyAlignment="1">
      <alignment horizontal="right"/>
    </xf>
    <xf numFmtId="167" fontId="7" fillId="0" borderId="0" xfId="0" applyNumberFormat="1" applyFont="1" applyBorder="1"/>
    <xf numFmtId="0" fontId="7" fillId="0" borderId="11" xfId="0" applyFont="1" applyFill="1" applyBorder="1" applyAlignment="1">
      <alignment horizontal="left" indent="1"/>
    </xf>
    <xf numFmtId="0" fontId="8" fillId="0" borderId="11" xfId="0" applyFont="1" applyBorder="1"/>
    <xf numFmtId="0" fontId="8" fillId="0" borderId="31" xfId="0" applyFont="1" applyBorder="1"/>
    <xf numFmtId="0" fontId="7" fillId="0" borderId="0" xfId="0" applyFont="1" applyFill="1" applyBorder="1"/>
    <xf numFmtId="167" fontId="7" fillId="0" borderId="0" xfId="0" applyNumberFormat="1" applyFont="1" applyFill="1" applyBorder="1"/>
    <xf numFmtId="168" fontId="7" fillId="0" borderId="32" xfId="0" applyNumberFormat="1" applyFont="1" applyBorder="1"/>
    <xf numFmtId="168" fontId="7" fillId="0" borderId="23" xfId="0" applyNumberFormat="1" applyFont="1" applyBorder="1"/>
    <xf numFmtId="168" fontId="7" fillId="0" borderId="33" xfId="0" applyNumberFormat="1" applyFont="1" applyBorder="1"/>
    <xf numFmtId="168" fontId="7" fillId="0" borderId="19" xfId="0" applyNumberFormat="1" applyFont="1" applyBorder="1"/>
    <xf numFmtId="0" fontId="7" fillId="0" borderId="0" xfId="0" applyFont="1" applyFill="1" applyBorder="1" applyAlignment="1">
      <alignment horizontal="center"/>
    </xf>
    <xf numFmtId="168" fontId="7" fillId="0" borderId="29" xfId="0" applyNumberFormat="1" applyFont="1" applyBorder="1"/>
    <xf numFmtId="168" fontId="7" fillId="0" borderId="30" xfId="0" applyNumberFormat="1" applyFont="1" applyBorder="1"/>
    <xf numFmtId="0" fontId="11" fillId="0" borderId="0" xfId="0" applyFont="1" applyAlignment="1">
      <alignment horizontal="right"/>
    </xf>
    <xf numFmtId="167" fontId="7" fillId="0" borderId="0" xfId="28" applyNumberFormat="1" applyFont="1" applyBorder="1"/>
    <xf numFmtId="164" fontId="7" fillId="0" borderId="0" xfId="28" applyNumberFormat="1" applyFont="1" applyBorder="1"/>
    <xf numFmtId="0" fontId="7" fillId="0" borderId="34" xfId="0" applyFont="1" applyBorder="1" applyAlignment="1">
      <alignment horizontal="center"/>
    </xf>
    <xf numFmtId="0" fontId="13" fillId="0" borderId="0" xfId="0" applyFont="1" applyBorder="1"/>
    <xf numFmtId="0" fontId="11" fillId="0" borderId="0" xfId="0" applyFont="1"/>
    <xf numFmtId="0" fontId="7" fillId="0" borderId="11" xfId="0" applyFont="1" applyBorder="1" applyAlignment="1">
      <alignment horizontal="left" vertical="top" wrapText="1" indent="1"/>
    </xf>
    <xf numFmtId="0" fontId="10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5" fontId="7" fillId="0" borderId="0" xfId="28" applyNumberFormat="1" applyFont="1" applyFill="1" applyBorder="1" applyAlignment="1">
      <alignment vertical="top" wrapText="1"/>
    </xf>
    <xf numFmtId="0" fontId="7" fillId="0" borderId="15" xfId="0" applyFont="1" applyBorder="1" applyAlignment="1">
      <alignment horizontal="left" indent="1"/>
    </xf>
    <xf numFmtId="0" fontId="7" fillId="0" borderId="0" xfId="0" quotePrefix="1" applyFont="1" applyBorder="1"/>
    <xf numFmtId="0" fontId="8" fillId="0" borderId="2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168" fontId="7" fillId="0" borderId="36" xfId="0" applyNumberFormat="1" applyFont="1" applyBorder="1"/>
    <xf numFmtId="168" fontId="7" fillId="0" borderId="37" xfId="0" applyNumberFormat="1" applyFont="1" applyBorder="1"/>
    <xf numFmtId="168" fontId="8" fillId="0" borderId="38" xfId="0" applyNumberFormat="1" applyFont="1" applyBorder="1"/>
    <xf numFmtId="168" fontId="8" fillId="0" borderId="39" xfId="0" applyNumberFormat="1" applyFont="1" applyBorder="1"/>
    <xf numFmtId="164" fontId="11" fillId="0" borderId="0" xfId="28" applyNumberFormat="1" applyFont="1"/>
    <xf numFmtId="0" fontId="6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7" fillId="0" borderId="21" xfId="0" applyFont="1" applyBorder="1"/>
    <xf numFmtId="0" fontId="7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quotePrefix="1" applyFont="1"/>
    <xf numFmtId="0" fontId="7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/>
    </xf>
    <xf numFmtId="0" fontId="7" fillId="0" borderId="34" xfId="0" applyFont="1" applyBorder="1" applyAlignment="1">
      <alignment horizontal="left" vertical="top" wrapText="1"/>
    </xf>
    <xf numFmtId="0" fontId="8" fillId="0" borderId="0" xfId="0" applyFont="1"/>
    <xf numFmtId="0" fontId="7" fillId="0" borderId="34" xfId="0" applyFont="1" applyFill="1" applyBorder="1" applyAlignment="1">
      <alignment horizontal="center" vertical="center"/>
    </xf>
    <xf numFmtId="168" fontId="7" fillId="0" borderId="40" xfId="0" applyNumberFormat="1" applyFont="1" applyBorder="1"/>
    <xf numFmtId="168" fontId="8" fillId="0" borderId="37" xfId="0" applyNumberFormat="1" applyFont="1" applyBorder="1"/>
    <xf numFmtId="168" fontId="7" fillId="0" borderId="39" xfId="0" applyNumberFormat="1" applyFont="1" applyBorder="1"/>
    <xf numFmtId="9" fontId="8" fillId="0" borderId="23" xfId="4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18" xfId="0" applyFont="1" applyFill="1" applyBorder="1" applyAlignment="1">
      <alignment horizontal="centerContinuous" vertical="center" wrapText="1"/>
    </xf>
    <xf numFmtId="0" fontId="8" fillId="0" borderId="35" xfId="0" applyFont="1" applyFill="1" applyBorder="1" applyAlignment="1">
      <alignment horizontal="centerContinuous" vertical="center" wrapText="1"/>
    </xf>
    <xf numFmtId="0" fontId="8" fillId="0" borderId="41" xfId="0" applyFont="1" applyFill="1" applyBorder="1" applyAlignment="1">
      <alignment horizontal="centerContinuous" vertical="center" wrapText="1"/>
    </xf>
    <xf numFmtId="0" fontId="7" fillId="0" borderId="42" xfId="0" applyFont="1" applyBorder="1" applyAlignment="1">
      <alignment horizontal="center"/>
    </xf>
    <xf numFmtId="168" fontId="8" fillId="0" borderId="40" xfId="0" applyNumberFormat="1" applyFont="1" applyBorder="1"/>
    <xf numFmtId="168" fontId="8" fillId="0" borderId="43" xfId="0" applyNumberFormat="1" applyFont="1" applyBorder="1"/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left" indent="1"/>
    </xf>
    <xf numFmtId="0" fontId="7" fillId="0" borderId="46" xfId="0" applyFont="1" applyBorder="1" applyAlignment="1">
      <alignment horizontal="center"/>
    </xf>
    <xf numFmtId="0" fontId="8" fillId="0" borderId="1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168" fontId="8" fillId="0" borderId="22" xfId="0" applyNumberFormat="1" applyFont="1" applyBorder="1" applyAlignment="1">
      <alignment vertical="top"/>
    </xf>
    <xf numFmtId="168" fontId="8" fillId="0" borderId="21" xfId="0" applyNumberFormat="1" applyFont="1" applyBorder="1" applyAlignment="1">
      <alignment vertical="top"/>
    </xf>
    <xf numFmtId="168" fontId="8" fillId="0" borderId="37" xfId="0" applyNumberFormat="1" applyFont="1" applyBorder="1" applyAlignment="1">
      <alignment vertical="top"/>
    </xf>
    <xf numFmtId="168" fontId="8" fillId="0" borderId="47" xfId="0" applyNumberFormat="1" applyFont="1" applyBorder="1"/>
    <xf numFmtId="0" fontId="7" fillId="0" borderId="15" xfId="0" applyFont="1" applyBorder="1" applyAlignment="1">
      <alignment horizontal="left" vertical="top" wrapText="1" indent="1"/>
    </xf>
    <xf numFmtId="0" fontId="7" fillId="0" borderId="37" xfId="0" applyFont="1" applyBorder="1"/>
    <xf numFmtId="0" fontId="8" fillId="0" borderId="45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68" fontId="8" fillId="0" borderId="48" xfId="0" applyNumberFormat="1" applyFont="1" applyBorder="1"/>
    <xf numFmtId="0" fontId="7" fillId="0" borderId="2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9" fontId="7" fillId="0" borderId="32" xfId="41" applyFont="1" applyFill="1" applyBorder="1" applyAlignment="1">
      <alignment horizontal="center" vertical="center"/>
    </xf>
    <xf numFmtId="9" fontId="7" fillId="0" borderId="29" xfId="41" applyFont="1" applyFill="1" applyBorder="1" applyAlignment="1">
      <alignment horizontal="center" vertical="center"/>
    </xf>
    <xf numFmtId="0" fontId="9" fillId="0" borderId="0" xfId="0" applyFont="1" applyBorder="1" applyAlignment="1"/>
    <xf numFmtId="167" fontId="9" fillId="0" borderId="0" xfId="0" applyNumberFormat="1" applyFont="1" applyBorder="1" applyAlignment="1"/>
    <xf numFmtId="9" fontId="7" fillId="0" borderId="21" xfId="4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Continuous" vertical="center" wrapText="1"/>
    </xf>
    <xf numFmtId="0" fontId="8" fillId="0" borderId="19" xfId="0" applyFont="1" applyFill="1" applyBorder="1" applyAlignment="1">
      <alignment horizontal="centerContinuous" vertical="center" wrapText="1"/>
    </xf>
    <xf numFmtId="0" fontId="8" fillId="0" borderId="36" xfId="0" applyFont="1" applyFill="1" applyBorder="1" applyAlignment="1">
      <alignment horizontal="centerContinuous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horizontal="center" vertical="top" wrapText="1"/>
    </xf>
    <xf numFmtId="0" fontId="8" fillId="0" borderId="51" xfId="0" applyFont="1" applyFill="1" applyBorder="1" applyAlignment="1">
      <alignment horizontal="center" vertical="top" wrapText="1"/>
    </xf>
    <xf numFmtId="0" fontId="8" fillId="0" borderId="46" xfId="0" applyFont="1" applyFill="1" applyBorder="1" applyAlignment="1">
      <alignment horizontal="left"/>
    </xf>
    <xf numFmtId="9" fontId="8" fillId="0" borderId="32" xfId="41" applyFont="1" applyFill="1" applyBorder="1" applyAlignment="1">
      <alignment horizontal="center" vertical="center" wrapText="1"/>
    </xf>
    <xf numFmtId="165" fontId="7" fillId="0" borderId="0" xfId="28" applyNumberFormat="1" applyFont="1" applyBorder="1" applyAlignment="1">
      <alignment vertical="top" wrapText="1"/>
    </xf>
    <xf numFmtId="9" fontId="8" fillId="0" borderId="50" xfId="4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9" fontId="8" fillId="0" borderId="28" xfId="41" applyFont="1" applyFill="1" applyBorder="1" applyAlignment="1">
      <alignment horizontal="center" vertical="center" wrapText="1"/>
    </xf>
    <xf numFmtId="9" fontId="8" fillId="0" borderId="48" xfId="41" applyFont="1" applyFill="1" applyBorder="1" applyAlignment="1">
      <alignment horizontal="center" vertical="center" wrapText="1"/>
    </xf>
    <xf numFmtId="9" fontId="8" fillId="0" borderId="27" xfId="41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9" fontId="8" fillId="0" borderId="52" xfId="4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0" xfId="0" applyFont="1" applyBorder="1" applyAlignment="1"/>
    <xf numFmtId="0" fontId="8" fillId="0" borderId="45" xfId="0" applyFont="1" applyFill="1" applyBorder="1" applyAlignment="1">
      <alignment horizontal="left" wrapText="1"/>
    </xf>
    <xf numFmtId="0" fontId="7" fillId="0" borderId="46" xfId="0" applyFont="1" applyBorder="1" applyAlignment="1">
      <alignment horizontal="center" wrapText="1"/>
    </xf>
    <xf numFmtId="0" fontId="12" fillId="0" borderId="0" xfId="0" applyFont="1" applyFill="1" applyBorder="1"/>
    <xf numFmtId="0" fontId="7" fillId="0" borderId="13" xfId="0" applyFont="1" applyBorder="1" applyAlignment="1">
      <alignment horizontal="left" vertical="top" wrapText="1"/>
    </xf>
    <xf numFmtId="9" fontId="8" fillId="0" borderId="39" xfId="4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68" fontId="8" fillId="0" borderId="53" xfId="0" applyNumberFormat="1" applyFont="1" applyBorder="1"/>
    <xf numFmtId="0" fontId="10" fillId="0" borderId="0" xfId="0" applyFont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/>
    </xf>
    <xf numFmtId="167" fontId="8" fillId="0" borderId="0" xfId="0" applyNumberFormat="1" applyFont="1"/>
    <xf numFmtId="0" fontId="8" fillId="0" borderId="54" xfId="0" applyFont="1" applyFill="1" applyBorder="1"/>
    <xf numFmtId="0" fontId="11" fillId="0" borderId="36" xfId="0" applyFont="1" applyFill="1" applyBorder="1" applyAlignment="1">
      <alignment horizontal="center"/>
    </xf>
    <xf numFmtId="9" fontId="7" fillId="0" borderId="50" xfId="41" applyFont="1" applyFill="1" applyBorder="1" applyAlignment="1">
      <alignment horizontal="center" vertical="center"/>
    </xf>
    <xf numFmtId="9" fontId="7" fillId="0" borderId="40" xfId="41" applyFont="1" applyFill="1" applyBorder="1" applyAlignment="1">
      <alignment horizontal="center" vertical="center"/>
    </xf>
    <xf numFmtId="9" fontId="7" fillId="0" borderId="37" xfId="41" applyFont="1" applyFill="1" applyBorder="1" applyAlignment="1">
      <alignment horizontal="center" vertical="center"/>
    </xf>
    <xf numFmtId="0" fontId="10" fillId="0" borderId="55" xfId="0" applyFont="1" applyFill="1" applyBorder="1"/>
    <xf numFmtId="0" fontId="7" fillId="0" borderId="22" xfId="0" applyFont="1" applyFill="1" applyBorder="1" applyAlignment="1">
      <alignment horizontal="left" indent="1"/>
    </xf>
    <xf numFmtId="0" fontId="8" fillId="0" borderId="22" xfId="0" applyFont="1" applyFill="1" applyBorder="1"/>
    <xf numFmtId="0" fontId="7" fillId="0" borderId="30" xfId="0" applyFont="1" applyFill="1" applyBorder="1"/>
    <xf numFmtId="0" fontId="10" fillId="0" borderId="20" xfId="0" applyFont="1" applyFill="1" applyBorder="1"/>
    <xf numFmtId="0" fontId="8" fillId="0" borderId="30" xfId="0" applyFont="1" applyFill="1" applyBorder="1"/>
    <xf numFmtId="0" fontId="10" fillId="0" borderId="22" xfId="0" applyFont="1" applyFill="1" applyBorder="1"/>
    <xf numFmtId="0" fontId="7" fillId="0" borderId="32" xfId="0" applyFont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wrapText="1"/>
    </xf>
    <xf numFmtId="9" fontId="8" fillId="0" borderId="25" xfId="41" applyFont="1" applyFill="1" applyBorder="1" applyAlignment="1">
      <alignment horizontal="center" vertical="center" wrapText="1"/>
    </xf>
    <xf numFmtId="9" fontId="8" fillId="0" borderId="43" xfId="4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8" fillId="0" borderId="19" xfId="28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4" fillId="0" borderId="0" xfId="0" applyFont="1"/>
    <xf numFmtId="0" fontId="14" fillId="25" borderId="54" xfId="0" applyFont="1" applyFill="1" applyBorder="1"/>
    <xf numFmtId="0" fontId="14" fillId="25" borderId="56" xfId="0" applyFont="1" applyFill="1" applyBorder="1" applyAlignment="1">
      <alignment horizontal="left"/>
    </xf>
    <xf numFmtId="0" fontId="14" fillId="25" borderId="54" xfId="0" applyFont="1" applyFill="1" applyBorder="1" applyAlignment="1">
      <alignment horizontal="left"/>
    </xf>
    <xf numFmtId="0" fontId="4" fillId="26" borderId="0" xfId="0" applyFont="1" applyFill="1"/>
    <xf numFmtId="0" fontId="2" fillId="0" borderId="10" xfId="0" applyFont="1" applyBorder="1"/>
    <xf numFmtId="0" fontId="15" fillId="0" borderId="0" xfId="0" applyFont="1"/>
    <xf numFmtId="0" fontId="2" fillId="0" borderId="15" xfId="0" applyFont="1" applyBorder="1"/>
    <xf numFmtId="0" fontId="2" fillId="0" borderId="34" xfId="0" applyFont="1" applyBorder="1"/>
    <xf numFmtId="0" fontId="16" fillId="0" borderId="0" xfId="0" applyFont="1"/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9" fontId="7" fillId="0" borderId="27" xfId="41" applyFont="1" applyFill="1" applyBorder="1" applyAlignment="1">
      <alignment horizontal="center" vertical="center"/>
    </xf>
    <xf numFmtId="0" fontId="2" fillId="27" borderId="54" xfId="0" applyFont="1" applyFill="1" applyBorder="1" applyAlignment="1">
      <alignment horizontal="center"/>
    </xf>
    <xf numFmtId="0" fontId="2" fillId="27" borderId="56" xfId="0" applyFont="1" applyFill="1" applyBorder="1"/>
    <xf numFmtId="0" fontId="2" fillId="27" borderId="57" xfId="0" applyFont="1" applyFill="1" applyBorder="1" applyAlignment="1">
      <alignment horizontal="center"/>
    </xf>
    <xf numFmtId="0" fontId="2" fillId="27" borderId="15" xfId="0" applyFont="1" applyFill="1" applyBorder="1" applyAlignment="1">
      <alignment horizontal="center"/>
    </xf>
    <xf numFmtId="0" fontId="2" fillId="27" borderId="13" xfId="0" applyFont="1" applyFill="1" applyBorder="1"/>
    <xf numFmtId="0" fontId="2" fillId="27" borderId="16" xfId="0" applyFont="1" applyFill="1" applyBorder="1" applyAlignment="1">
      <alignment horizontal="center"/>
    </xf>
    <xf numFmtId="9" fontId="8" fillId="0" borderId="52" xfId="41" applyFont="1" applyFill="1" applyBorder="1" applyAlignment="1">
      <alignment horizontal="centerContinuous" vertical="center" wrapText="1"/>
    </xf>
    <xf numFmtId="9" fontId="8" fillId="0" borderId="32" xfId="41" applyFont="1" applyFill="1" applyBorder="1" applyAlignment="1">
      <alignment horizontal="centerContinuous" vertical="center" wrapText="1"/>
    </xf>
    <xf numFmtId="9" fontId="8" fillId="0" borderId="50" xfId="41" applyFont="1" applyFill="1" applyBorder="1" applyAlignment="1">
      <alignment horizontal="centerContinuous" vertical="center" wrapText="1"/>
    </xf>
    <xf numFmtId="168" fontId="7" fillId="28" borderId="22" xfId="0" applyNumberFormat="1" applyFont="1" applyFill="1" applyBorder="1" applyProtection="1">
      <protection locked="0"/>
    </xf>
    <xf numFmtId="168" fontId="7" fillId="28" borderId="21" xfId="0" applyNumberFormat="1" applyFont="1" applyFill="1" applyBorder="1" applyProtection="1">
      <protection locked="0"/>
    </xf>
    <xf numFmtId="168" fontId="7" fillId="28" borderId="37" xfId="0" applyNumberFormat="1" applyFont="1" applyFill="1" applyBorder="1" applyProtection="1">
      <protection locked="0"/>
    </xf>
    <xf numFmtId="168" fontId="7" fillId="28" borderId="51" xfId="0" applyNumberFormat="1" applyFont="1" applyFill="1" applyBorder="1" applyProtection="1">
      <protection locked="0"/>
    </xf>
    <xf numFmtId="168" fontId="7" fillId="28" borderId="32" xfId="0" applyNumberFormat="1" applyFont="1" applyFill="1" applyBorder="1" applyProtection="1">
      <protection locked="0"/>
    </xf>
    <xf numFmtId="168" fontId="7" fillId="28" borderId="50" xfId="0" applyNumberFormat="1" applyFont="1" applyFill="1" applyBorder="1" applyProtection="1">
      <protection locked="0"/>
    </xf>
    <xf numFmtId="0" fontId="7" fillId="28" borderId="11" xfId="0" applyFont="1" applyFill="1" applyBorder="1" applyProtection="1">
      <protection locked="0"/>
    </xf>
    <xf numFmtId="0" fontId="8" fillId="28" borderId="11" xfId="0" applyFont="1" applyFill="1" applyBorder="1" applyAlignment="1" applyProtection="1">
      <alignment horizontal="left" vertical="center"/>
      <protection locked="0"/>
    </xf>
    <xf numFmtId="0" fontId="7" fillId="28" borderId="10" xfId="0" applyFont="1" applyFill="1" applyBorder="1" applyAlignment="1" applyProtection="1">
      <alignment horizontal="center" vertical="center"/>
      <protection locked="0"/>
    </xf>
    <xf numFmtId="0" fontId="8" fillId="28" borderId="22" xfId="0" applyFont="1" applyFill="1" applyBorder="1" applyAlignment="1" applyProtection="1">
      <alignment horizontal="center" vertical="center" wrapText="1"/>
      <protection locked="0"/>
    </xf>
    <xf numFmtId="0" fontId="8" fillId="28" borderId="21" xfId="0" applyFont="1" applyFill="1" applyBorder="1" applyAlignment="1" applyProtection="1">
      <alignment horizontal="center" vertical="center" wrapText="1"/>
      <protection locked="0"/>
    </xf>
    <xf numFmtId="0" fontId="7" fillId="28" borderId="11" xfId="0" applyFont="1" applyFill="1" applyBorder="1" applyAlignment="1" applyProtection="1">
      <alignment horizontal="left" vertical="top" wrapText="1"/>
      <protection locked="0"/>
    </xf>
    <xf numFmtId="0" fontId="7" fillId="28" borderId="10" xfId="0" applyFont="1" applyFill="1" applyBorder="1" applyAlignment="1" applyProtection="1">
      <alignment horizontal="left" vertical="top" wrapText="1"/>
      <protection locked="0"/>
    </xf>
    <xf numFmtId="0" fontId="7" fillId="28" borderId="11" xfId="0" applyFont="1" applyFill="1" applyBorder="1" applyAlignment="1" applyProtection="1">
      <alignment horizontal="left" wrapText="1"/>
      <protection locked="0"/>
    </xf>
    <xf numFmtId="0" fontId="7" fillId="28" borderId="10" xfId="0" applyFont="1" applyFill="1" applyBorder="1" applyAlignment="1" applyProtection="1">
      <alignment horizontal="left" wrapText="1"/>
      <protection locked="0"/>
    </xf>
    <xf numFmtId="0" fontId="10" fillId="28" borderId="10" xfId="0" applyFont="1" applyFill="1" applyBorder="1" applyAlignment="1" applyProtection="1">
      <alignment horizontal="left" wrapText="1"/>
      <protection locked="0"/>
    </xf>
    <xf numFmtId="0" fontId="7" fillId="28" borderId="15" xfId="0" applyFont="1" applyFill="1" applyBorder="1" applyAlignment="1" applyProtection="1">
      <alignment horizontal="left" wrapText="1"/>
      <protection locked="0"/>
    </xf>
    <xf numFmtId="0" fontId="10" fillId="28" borderId="34" xfId="0" applyFont="1" applyFill="1" applyBorder="1" applyAlignment="1" applyProtection="1">
      <alignment horizontal="left" wrapText="1"/>
      <protection locked="0"/>
    </xf>
    <xf numFmtId="168" fontId="7" fillId="28" borderId="30" xfId="0" applyNumberFormat="1" applyFont="1" applyFill="1" applyBorder="1" applyProtection="1">
      <protection locked="0"/>
    </xf>
    <xf numFmtId="168" fontId="7" fillId="28" borderId="29" xfId="0" applyNumberFormat="1" applyFont="1" applyFill="1" applyBorder="1" applyProtection="1">
      <protection locked="0"/>
    </xf>
    <xf numFmtId="9" fontId="8" fillId="28" borderId="21" xfId="41" applyFont="1" applyFill="1" applyBorder="1" applyAlignment="1" applyProtection="1">
      <alignment horizontal="center" vertical="center" wrapText="1"/>
      <protection locked="0"/>
    </xf>
    <xf numFmtId="0" fontId="8" fillId="28" borderId="37" xfId="0" applyFont="1" applyFill="1" applyBorder="1" applyAlignment="1" applyProtection="1">
      <alignment horizontal="center" vertical="center" wrapText="1"/>
      <protection locked="0"/>
    </xf>
    <xf numFmtId="168" fontId="7" fillId="28" borderId="40" xfId="0" applyNumberFormat="1" applyFont="1" applyFill="1" applyBorder="1" applyProtection="1">
      <protection locked="0"/>
    </xf>
    <xf numFmtId="0" fontId="7" fillId="28" borderId="21" xfId="0" applyFont="1" applyFill="1" applyBorder="1" applyProtection="1">
      <protection locked="0"/>
    </xf>
    <xf numFmtId="0" fontId="7" fillId="28" borderId="37" xfId="0" applyFont="1" applyFill="1" applyBorder="1" applyProtection="1">
      <protection locked="0"/>
    </xf>
    <xf numFmtId="168" fontId="7" fillId="28" borderId="58" xfId="0" applyNumberFormat="1" applyFont="1" applyFill="1" applyBorder="1" applyProtection="1">
      <protection locked="0"/>
    </xf>
    <xf numFmtId="168" fontId="7" fillId="28" borderId="33" xfId="0" applyNumberFormat="1" applyFont="1" applyFill="1" applyBorder="1" applyProtection="1">
      <protection locked="0"/>
    </xf>
    <xf numFmtId="168" fontId="7" fillId="0" borderId="21" xfId="0" applyNumberFormat="1" applyFont="1" applyFill="1" applyBorder="1"/>
    <xf numFmtId="0" fontId="11" fillId="28" borderId="11" xfId="0" applyFont="1" applyFill="1" applyBorder="1" applyProtection="1">
      <protection locked="0"/>
    </xf>
    <xf numFmtId="0" fontId="8" fillId="28" borderId="22" xfId="0" applyFont="1" applyFill="1" applyBorder="1" applyAlignment="1" applyProtection="1">
      <alignment horizontal="center"/>
      <protection locked="0"/>
    </xf>
    <xf numFmtId="0" fontId="8" fillId="28" borderId="21" xfId="28" applyNumberFormat="1" applyFont="1" applyFill="1" applyBorder="1" applyAlignment="1" applyProtection="1">
      <alignment horizontal="center"/>
      <protection locked="0"/>
    </xf>
    <xf numFmtId="0" fontId="11" fillId="28" borderId="21" xfId="0" applyFont="1" applyFill="1" applyBorder="1" applyAlignment="1" applyProtection="1">
      <alignment horizontal="center"/>
      <protection locked="0"/>
    </xf>
    <xf numFmtId="0" fontId="11" fillId="28" borderId="37" xfId="0" applyFont="1" applyFill="1" applyBorder="1" applyAlignment="1" applyProtection="1">
      <alignment horizontal="center"/>
      <protection locked="0"/>
    </xf>
    <xf numFmtId="0" fontId="8" fillId="28" borderId="10" xfId="0" applyFont="1" applyFill="1" applyBorder="1" applyAlignment="1" applyProtection="1">
      <alignment horizontal="center"/>
      <protection locked="0"/>
    </xf>
    <xf numFmtId="0" fontId="8" fillId="28" borderId="21" xfId="0" applyFont="1" applyFill="1" applyBorder="1" applyAlignment="1" applyProtection="1">
      <alignment horizontal="center"/>
      <protection locked="0"/>
    </xf>
    <xf numFmtId="0" fontId="8" fillId="28" borderId="37" xfId="0" applyFont="1" applyFill="1" applyBorder="1" applyAlignment="1" applyProtection="1">
      <alignment horizontal="center"/>
      <protection locked="0"/>
    </xf>
    <xf numFmtId="0" fontId="8" fillId="28" borderId="11" xfId="0" applyFont="1" applyFill="1" applyBorder="1" applyAlignment="1" applyProtection="1">
      <alignment horizontal="left"/>
      <protection locked="0"/>
    </xf>
    <xf numFmtId="167" fontId="7" fillId="28" borderId="10" xfId="0" applyNumberFormat="1" applyFont="1" applyFill="1" applyBorder="1" applyProtection="1">
      <protection locked="0"/>
    </xf>
    <xf numFmtId="167" fontId="7" fillId="28" borderId="22" xfId="0" applyNumberFormat="1" applyFont="1" applyFill="1" applyBorder="1" applyProtection="1">
      <protection locked="0"/>
    </xf>
    <xf numFmtId="167" fontId="7" fillId="28" borderId="21" xfId="0" applyNumberFormat="1" applyFont="1" applyFill="1" applyBorder="1" applyProtection="1">
      <protection locked="0"/>
    </xf>
    <xf numFmtId="167" fontId="7" fillId="28" borderId="37" xfId="0" applyNumberFormat="1" applyFont="1" applyFill="1" applyBorder="1" applyProtection="1">
      <protection locked="0"/>
    </xf>
    <xf numFmtId="0" fontId="7" fillId="28" borderId="21" xfId="28" applyNumberFormat="1" applyFont="1" applyFill="1" applyBorder="1" applyAlignment="1" applyProtection="1">
      <alignment horizontal="center"/>
      <protection locked="0"/>
    </xf>
    <xf numFmtId="0" fontId="8" fillId="28" borderId="11" xfId="0" applyFont="1" applyFill="1" applyBorder="1" applyProtection="1">
      <protection locked="0"/>
    </xf>
    <xf numFmtId="0" fontId="7" fillId="0" borderId="10" xfId="0" applyFont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168" fontId="7" fillId="0" borderId="21" xfId="0" applyNumberFormat="1" applyFont="1" applyFill="1" applyBorder="1" applyProtection="1">
      <protection locked="0"/>
    </xf>
    <xf numFmtId="168" fontId="7" fillId="0" borderId="37" xfId="0" applyNumberFormat="1" applyFont="1" applyFill="1" applyBorder="1" applyProtection="1">
      <protection locked="0"/>
    </xf>
    <xf numFmtId="0" fontId="7" fillId="0" borderId="10" xfId="0" applyNumberFormat="1" applyFont="1" applyBorder="1" applyAlignment="1">
      <alignment horizontal="left" indent="1"/>
    </xf>
    <xf numFmtId="0" fontId="8" fillId="0" borderId="10" xfId="0" applyNumberFormat="1" applyFont="1" applyBorder="1" applyAlignment="1">
      <alignment wrapText="1"/>
    </xf>
    <xf numFmtId="0" fontId="8" fillId="0" borderId="59" xfId="0" applyFont="1" applyFill="1" applyBorder="1"/>
    <xf numFmtId="168" fontId="8" fillId="0" borderId="55" xfId="0" applyNumberFormat="1" applyFont="1" applyBorder="1" applyAlignment="1">
      <alignment vertical="top"/>
    </xf>
    <xf numFmtId="168" fontId="8" fillId="0" borderId="23" xfId="0" applyNumberFormat="1" applyFont="1" applyBorder="1" applyAlignment="1">
      <alignment vertical="top"/>
    </xf>
    <xf numFmtId="168" fontId="8" fillId="0" borderId="39" xfId="0" applyNumberFormat="1" applyFont="1" applyBorder="1" applyAlignment="1">
      <alignment vertical="top"/>
    </xf>
    <xf numFmtId="0" fontId="9" fillId="0" borderId="22" xfId="0" applyFont="1" applyFill="1" applyBorder="1"/>
    <xf numFmtId="0" fontId="7" fillId="0" borderId="11" xfId="0" applyNumberFormat="1" applyFont="1" applyBorder="1" applyAlignment="1">
      <alignment horizontal="left" indent="1"/>
    </xf>
    <xf numFmtId="0" fontId="7" fillId="0" borderId="0" xfId="0" applyFont="1" applyFill="1"/>
    <xf numFmtId="168" fontId="7" fillId="0" borderId="22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0" fillId="0" borderId="11" xfId="0" applyNumberFormat="1" applyFont="1" applyBorder="1"/>
    <xf numFmtId="0" fontId="11" fillId="0" borderId="11" xfId="0" applyNumberFormat="1" applyFont="1" applyBorder="1" applyAlignment="1">
      <alignment horizontal="left" indent="2"/>
    </xf>
    <xf numFmtId="0" fontId="7" fillId="0" borderId="11" xfId="0" applyNumberFormat="1" applyFont="1" applyFill="1" applyBorder="1" applyAlignment="1">
      <alignment horizontal="left" indent="1"/>
    </xf>
    <xf numFmtId="0" fontId="7" fillId="0" borderId="11" xfId="0" applyNumberFormat="1" applyFont="1" applyBorder="1"/>
    <xf numFmtId="0" fontId="11" fillId="0" borderId="11" xfId="0" applyNumberFormat="1" applyFont="1" applyBorder="1"/>
    <xf numFmtId="0" fontId="11" fillId="28" borderId="11" xfId="0" applyNumberFormat="1" applyFont="1" applyFill="1" applyBorder="1" applyAlignment="1" applyProtection="1">
      <alignment horizontal="left" indent="1"/>
      <protection locked="0"/>
    </xf>
    <xf numFmtId="0" fontId="7" fillId="28" borderId="11" xfId="0" applyNumberFormat="1" applyFont="1" applyFill="1" applyBorder="1" applyAlignment="1" applyProtection="1">
      <alignment horizontal="left" indent="1"/>
      <protection locked="0"/>
    </xf>
    <xf numFmtId="0" fontId="7" fillId="0" borderId="54" xfId="0" applyFont="1" applyBorder="1" applyAlignment="1">
      <alignment horizontal="center"/>
    </xf>
    <xf numFmtId="0" fontId="10" fillId="0" borderId="54" xfId="0" applyFont="1" applyBorder="1"/>
    <xf numFmtId="168" fontId="8" fillId="0" borderId="20" xfId="0" applyNumberFormat="1" applyFont="1" applyBorder="1"/>
    <xf numFmtId="168" fontId="8" fillId="0" borderId="19" xfId="0" applyNumberFormat="1" applyFont="1" applyBorder="1"/>
    <xf numFmtId="168" fontId="8" fillId="0" borderId="36" xfId="0" applyNumberFormat="1" applyFont="1" applyBorder="1"/>
    <xf numFmtId="0" fontId="7" fillId="0" borderId="11" xfId="0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11" fillId="0" borderId="0" xfId="0" applyFont="1" applyBorder="1" applyProtection="1"/>
    <xf numFmtId="0" fontId="17" fillId="0" borderId="0" xfId="38"/>
    <xf numFmtId="0" fontId="0" fillId="0" borderId="0" xfId="0" applyProtection="1">
      <protection locked="0"/>
    </xf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68" fontId="8" fillId="0" borderId="21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7" fillId="0" borderId="15" xfId="0" applyFont="1" applyBorder="1" applyAlignment="1">
      <alignment horizontal="center"/>
    </xf>
    <xf numFmtId="168" fontId="8" fillId="0" borderId="37" xfId="0" applyNumberFormat="1" applyFont="1" applyFill="1" applyBorder="1"/>
    <xf numFmtId="168" fontId="8" fillId="0" borderId="25" xfId="0" applyNumberFormat="1" applyFont="1" applyFill="1" applyBorder="1"/>
    <xf numFmtId="168" fontId="8" fillId="0" borderId="19" xfId="0" applyNumberFormat="1" applyFont="1" applyFill="1" applyBorder="1"/>
    <xf numFmtId="168" fontId="8" fillId="0" borderId="27" xfId="0" applyNumberFormat="1" applyFont="1" applyBorder="1" applyAlignment="1">
      <alignment vertical="top"/>
    </xf>
    <xf numFmtId="168" fontId="8" fillId="0" borderId="38" xfId="0" applyNumberFormat="1" applyFont="1" applyBorder="1" applyAlignment="1">
      <alignment vertical="top"/>
    </xf>
    <xf numFmtId="168" fontId="8" fillId="0" borderId="28" xfId="0" applyNumberFormat="1" applyFont="1" applyBorder="1" applyAlignment="1">
      <alignment vertical="top"/>
    </xf>
    <xf numFmtId="0" fontId="9" fillId="0" borderId="2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28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Border="1" applyProtection="1">
      <protection locked="0"/>
    </xf>
    <xf numFmtId="0" fontId="0" fillId="0" borderId="0" xfId="0" applyProtection="1"/>
    <xf numFmtId="0" fontId="36" fillId="0" borderId="0" xfId="0" applyFont="1" applyProtection="1"/>
    <xf numFmtId="168" fontId="7" fillId="0" borderId="23" xfId="0" applyNumberFormat="1" applyFont="1" applyFill="1" applyBorder="1" applyProtection="1"/>
    <xf numFmtId="168" fontId="7" fillId="0" borderId="39" xfId="0" applyNumberFormat="1" applyFont="1" applyFill="1" applyBorder="1" applyProtection="1"/>
    <xf numFmtId="0" fontId="7" fillId="0" borderId="11" xfId="0" applyFont="1" applyFill="1" applyBorder="1" applyAlignment="1" applyProtection="1">
      <alignment horizontal="left" vertical="top" wrapText="1" indent="1"/>
    </xf>
    <xf numFmtId="0" fontId="7" fillId="0" borderId="0" xfId="0" applyFont="1" applyFill="1" applyBorder="1" applyAlignment="1" applyProtection="1">
      <alignment horizontal="center" vertical="top" wrapText="1"/>
    </xf>
    <xf numFmtId="168" fontId="7" fillId="0" borderId="21" xfId="0" applyNumberFormat="1" applyFont="1" applyFill="1" applyBorder="1" applyProtection="1"/>
    <xf numFmtId="168" fontId="7" fillId="0" borderId="37" xfId="0" applyNumberFormat="1" applyFont="1" applyFill="1" applyBorder="1" applyProtection="1"/>
    <xf numFmtId="0" fontId="7" fillId="0" borderId="11" xfId="0" applyFont="1" applyBorder="1" applyAlignment="1" applyProtection="1">
      <alignment horizontal="left" indent="1"/>
    </xf>
    <xf numFmtId="17" fontId="2" fillId="28" borderId="56" xfId="0" applyNumberFormat="1" applyFont="1" applyFill="1" applyBorder="1" applyProtection="1">
      <protection locked="0"/>
    </xf>
    <xf numFmtId="0" fontId="2" fillId="28" borderId="56" xfId="0" applyFont="1" applyFill="1" applyBorder="1" applyProtection="1">
      <protection locked="0"/>
    </xf>
    <xf numFmtId="0" fontId="2" fillId="28" borderId="57" xfId="0" applyFont="1" applyFill="1" applyBorder="1" applyProtection="1">
      <protection locked="0"/>
    </xf>
    <xf numFmtId="0" fontId="2" fillId="28" borderId="0" xfId="0" quotePrefix="1" applyFont="1" applyFill="1" applyBorder="1" applyProtection="1">
      <protection locked="0"/>
    </xf>
    <xf numFmtId="0" fontId="2" fillId="28" borderId="0" xfId="0" applyFont="1" applyFill="1" applyBorder="1" applyProtection="1">
      <protection locked="0"/>
    </xf>
    <xf numFmtId="0" fontId="2" fillId="28" borderId="12" xfId="0" applyFont="1" applyFill="1" applyBorder="1" applyProtection="1">
      <protection locked="0"/>
    </xf>
    <xf numFmtId="168" fontId="7" fillId="28" borderId="22" xfId="0" applyNumberFormat="1" applyFont="1" applyFill="1" applyBorder="1"/>
    <xf numFmtId="168" fontId="7" fillId="28" borderId="21" xfId="0" applyNumberFormat="1" applyFont="1" applyFill="1" applyBorder="1"/>
    <xf numFmtId="168" fontId="7" fillId="28" borderId="37" xfId="0" applyNumberFormat="1" applyFont="1" applyFill="1" applyBorder="1"/>
    <xf numFmtId="168" fontId="7" fillId="28" borderId="33" xfId="0" applyNumberFormat="1" applyFont="1" applyFill="1" applyBorder="1"/>
    <xf numFmtId="0" fontId="8" fillId="0" borderId="10" xfId="0" applyNumberFormat="1" applyFont="1" applyBorder="1" applyAlignment="1">
      <alignment horizontal="left" wrapText="1"/>
    </xf>
    <xf numFmtId="0" fontId="7" fillId="0" borderId="10" xfId="0" applyFont="1" applyFill="1" applyBorder="1" applyAlignment="1">
      <alignment horizontal="left" indent="1"/>
    </xf>
    <xf numFmtId="0" fontId="7" fillId="0" borderId="10" xfId="0" applyNumberFormat="1" applyFont="1" applyBorder="1" applyAlignment="1">
      <alignment horizontal="left" vertical="top" indent="1"/>
    </xf>
    <xf numFmtId="0" fontId="37" fillId="0" borderId="0" xfId="0" applyFont="1"/>
    <xf numFmtId="0" fontId="37" fillId="0" borderId="10" xfId="0" applyFont="1" applyBorder="1" applyAlignment="1"/>
    <xf numFmtId="0" fontId="7" fillId="0" borderId="56" xfId="0" applyFont="1" applyBorder="1"/>
    <xf numFmtId="0" fontId="7" fillId="0" borderId="56" xfId="0" applyFont="1" applyBorder="1" applyAlignment="1">
      <alignment horizontal="center"/>
    </xf>
    <xf numFmtId="168" fontId="7" fillId="0" borderId="56" xfId="0" applyNumberFormat="1" applyFont="1" applyBorder="1"/>
    <xf numFmtId="0" fontId="10" fillId="0" borderId="54" xfId="0" applyNumberFormat="1" applyFont="1" applyBorder="1"/>
    <xf numFmtId="0" fontId="8" fillId="0" borderId="24" xfId="0" applyNumberFormat="1" applyFont="1" applyBorder="1"/>
    <xf numFmtId="0" fontId="17" fillId="0" borderId="0" xfId="38" quotePrefix="1"/>
    <xf numFmtId="0" fontId="8" fillId="0" borderId="51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Fill="1" applyBorder="1" applyAlignment="1" applyProtection="1">
      <alignment horizontal="center" vertical="top" wrapText="1"/>
      <protection locked="0"/>
    </xf>
    <xf numFmtId="0" fontId="8" fillId="0" borderId="49" xfId="0" applyFont="1" applyFill="1" applyBorder="1" applyAlignment="1" applyProtection="1">
      <alignment horizontal="center" vertical="top" wrapText="1"/>
      <protection locked="0"/>
    </xf>
    <xf numFmtId="167" fontId="8" fillId="30" borderId="26" xfId="0" applyNumberFormat="1" applyFont="1" applyFill="1" applyBorder="1"/>
    <xf numFmtId="167" fontId="8" fillId="30" borderId="25" xfId="0" applyNumberFormat="1" applyFont="1" applyFill="1" applyBorder="1"/>
    <xf numFmtId="167" fontId="8" fillId="30" borderId="43" xfId="0" applyNumberFormat="1" applyFont="1" applyFill="1" applyBorder="1"/>
    <xf numFmtId="168" fontId="8" fillId="30" borderId="43" xfId="0" applyNumberFormat="1" applyFont="1" applyFill="1" applyBorder="1"/>
    <xf numFmtId="168" fontId="8" fillId="30" borderId="47" xfId="0" applyNumberFormat="1" applyFont="1" applyFill="1" applyBorder="1"/>
    <xf numFmtId="168" fontId="8" fillId="30" borderId="25" xfId="0" applyNumberFormat="1" applyFont="1" applyFill="1" applyBorder="1"/>
    <xf numFmtId="168" fontId="8" fillId="30" borderId="60" xfId="0" applyNumberFormat="1" applyFont="1" applyFill="1" applyBorder="1"/>
    <xf numFmtId="0" fontId="12" fillId="0" borderId="0" xfId="0" applyFont="1" applyFill="1" applyBorder="1" applyAlignment="1">
      <alignment horizontal="left"/>
    </xf>
    <xf numFmtId="168" fontId="7" fillId="0" borderId="0" xfId="0" applyNumberFormat="1" applyFont="1" applyFill="1" applyBorder="1" applyProtection="1">
      <protection locked="0"/>
    </xf>
    <xf numFmtId="168" fontId="7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168" fontId="8" fillId="0" borderId="28" xfId="0" applyNumberFormat="1" applyFont="1" applyFill="1" applyBorder="1"/>
    <xf numFmtId="0" fontId="8" fillId="0" borderId="61" xfId="0" applyFont="1" applyBorder="1"/>
    <xf numFmtId="0" fontId="7" fillId="0" borderId="61" xfId="0" applyFont="1" applyBorder="1" applyAlignment="1">
      <alignment horizontal="center"/>
    </xf>
    <xf numFmtId="168" fontId="8" fillId="0" borderId="44" xfId="0" applyNumberFormat="1" applyFont="1" applyBorder="1"/>
    <xf numFmtId="168" fontId="7" fillId="30" borderId="22" xfId="0" applyNumberFormat="1" applyFont="1" applyFill="1" applyBorder="1"/>
    <xf numFmtId="166" fontId="7" fillId="0" borderId="21" xfId="0" applyNumberFormat="1" applyFont="1" applyBorder="1"/>
    <xf numFmtId="166" fontId="7" fillId="0" borderId="37" xfId="0" applyNumberFormat="1" applyFont="1" applyBorder="1"/>
    <xf numFmtId="166" fontId="7" fillId="0" borderId="27" xfId="0" applyNumberFormat="1" applyFont="1" applyBorder="1"/>
    <xf numFmtId="166" fontId="7" fillId="0" borderId="38" xfId="0" applyNumberFormat="1" applyFont="1" applyBorder="1"/>
    <xf numFmtId="168" fontId="7" fillId="30" borderId="28" xfId="0" applyNumberFormat="1" applyFont="1" applyFill="1" applyBorder="1"/>
    <xf numFmtId="168" fontId="7" fillId="30" borderId="27" xfId="0" applyNumberFormat="1" applyFont="1" applyFill="1" applyBorder="1"/>
    <xf numFmtId="168" fontId="7" fillId="30" borderId="21" xfId="0" applyNumberFormat="1" applyFont="1" applyFill="1" applyBorder="1"/>
    <xf numFmtId="168" fontId="7" fillId="0" borderId="55" xfId="0" applyNumberFormat="1" applyFont="1" applyBorder="1"/>
    <xf numFmtId="168" fontId="7" fillId="31" borderId="21" xfId="0" applyNumberFormat="1" applyFont="1" applyFill="1" applyBorder="1" applyProtection="1">
      <protection locked="0"/>
    </xf>
    <xf numFmtId="168" fontId="7" fillId="31" borderId="37" xfId="0" applyNumberFormat="1" applyFont="1" applyFill="1" applyBorder="1" applyProtection="1">
      <protection locked="0"/>
    </xf>
    <xf numFmtId="0" fontId="8" fillId="0" borderId="62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8" fillId="0" borderId="63" xfId="0" applyFont="1" applyFill="1" applyBorder="1" applyAlignment="1">
      <alignment horizontal="centerContinuous" vertical="center" wrapText="1"/>
    </xf>
    <xf numFmtId="168" fontId="7" fillId="0" borderId="58" xfId="0" applyNumberFormat="1" applyFont="1" applyBorder="1"/>
    <xf numFmtId="168" fontId="8" fillId="0" borderId="32" xfId="0" applyNumberFormat="1" applyFont="1" applyFill="1" applyBorder="1"/>
    <xf numFmtId="168" fontId="8" fillId="0" borderId="58" xfId="0" applyNumberFormat="1" applyFont="1" applyBorder="1"/>
    <xf numFmtId="168" fontId="7" fillId="0" borderId="58" xfId="0" applyNumberFormat="1" applyFont="1" applyFill="1" applyBorder="1"/>
    <xf numFmtId="168" fontId="7" fillId="0" borderId="58" xfId="0" applyNumberFormat="1" applyFont="1" applyFill="1" applyBorder="1" applyProtection="1"/>
    <xf numFmtId="168" fontId="7" fillId="0" borderId="58" xfId="0" applyNumberFormat="1" applyFont="1" applyFill="1" applyBorder="1" applyProtection="1">
      <protection locked="0"/>
    </xf>
    <xf numFmtId="168" fontId="8" fillId="0" borderId="58" xfId="0" applyNumberFormat="1" applyFont="1" applyFill="1" applyBorder="1" applyProtection="1">
      <protection locked="0"/>
    </xf>
    <xf numFmtId="168" fontId="8" fillId="0" borderId="21" xfId="0" applyNumberFormat="1" applyFont="1" applyFill="1" applyBorder="1" applyProtection="1">
      <protection locked="0"/>
    </xf>
    <xf numFmtId="168" fontId="7" fillId="0" borderId="30" xfId="0" applyNumberFormat="1" applyFont="1" applyFill="1" applyBorder="1" applyProtection="1">
      <protection locked="0"/>
    </xf>
    <xf numFmtId="168" fontId="7" fillId="0" borderId="29" xfId="0" applyNumberFormat="1" applyFont="1" applyFill="1" applyBorder="1" applyProtection="1">
      <protection locked="0"/>
    </xf>
    <xf numFmtId="0" fontId="11" fillId="0" borderId="11" xfId="0" applyNumberFormat="1" applyFont="1" applyFill="1" applyBorder="1" applyAlignment="1" applyProtection="1">
      <alignment horizontal="left" indent="1"/>
      <protection locked="0"/>
    </xf>
    <xf numFmtId="0" fontId="7" fillId="0" borderId="11" xfId="0" applyNumberFormat="1" applyFont="1" applyFill="1" applyBorder="1" applyAlignment="1" applyProtection="1">
      <alignment horizontal="left" indent="1"/>
      <protection locked="0"/>
    </xf>
    <xf numFmtId="168" fontId="7" fillId="0" borderId="37" xfId="0" applyNumberFormat="1" applyFont="1" applyFill="1" applyBorder="1"/>
    <xf numFmtId="168" fontId="8" fillId="0" borderId="37" xfId="0" applyNumberFormat="1" applyFont="1" applyFill="1" applyBorder="1" applyProtection="1">
      <protection locked="0"/>
    </xf>
    <xf numFmtId="168" fontId="8" fillId="0" borderId="43" xfId="0" applyNumberFormat="1" applyFont="1" applyFill="1" applyBorder="1"/>
    <xf numFmtId="168" fontId="8" fillId="0" borderId="36" xfId="0" applyNumberFormat="1" applyFont="1" applyFill="1" applyBorder="1"/>
    <xf numFmtId="168" fontId="7" fillId="0" borderId="40" xfId="0" applyNumberFormat="1" applyFont="1" applyFill="1" applyBorder="1" applyProtection="1">
      <protection locked="0"/>
    </xf>
    <xf numFmtId="0" fontId="8" fillId="0" borderId="31" xfId="0" applyNumberFormat="1" applyFont="1" applyBorder="1" applyAlignment="1">
      <alignment horizontal="left" wrapText="1"/>
    </xf>
    <xf numFmtId="0" fontId="7" fillId="0" borderId="11" xfId="0" applyFont="1" applyBorder="1" applyAlignment="1">
      <alignment horizontal="left" indent="2"/>
    </xf>
    <xf numFmtId="0" fontId="8" fillId="0" borderId="11" xfId="0" applyFont="1" applyFill="1" applyBorder="1" applyAlignment="1">
      <alignment horizontal="left" indent="1"/>
    </xf>
    <xf numFmtId="0" fontId="8" fillId="0" borderId="11" xfId="0" applyFont="1" applyBorder="1" applyAlignment="1">
      <alignment horizontal="left" indent="1"/>
    </xf>
    <xf numFmtId="0" fontId="7" fillId="0" borderId="64" xfId="0" applyFont="1" applyBorder="1" applyAlignment="1">
      <alignment horizontal="center"/>
    </xf>
    <xf numFmtId="0" fontId="7" fillId="0" borderId="0" xfId="0" quotePrefix="1" applyFont="1" applyBorder="1" applyAlignment="1">
      <alignment horizontal="left" wrapText="1"/>
    </xf>
    <xf numFmtId="168" fontId="7" fillId="0" borderId="22" xfId="0" applyNumberFormat="1" applyFont="1" applyFill="1" applyBorder="1"/>
    <xf numFmtId="168" fontId="8" fillId="0" borderId="55" xfId="0" applyNumberFormat="1" applyFont="1" applyFill="1" applyBorder="1"/>
    <xf numFmtId="164" fontId="11" fillId="0" borderId="0" xfId="28" applyNumberFormat="1" applyFont="1" applyBorder="1" applyAlignment="1">
      <alignment horizontal="right"/>
    </xf>
    <xf numFmtId="168" fontId="8" fillId="0" borderId="23" xfId="0" applyNumberFormat="1" applyFont="1" applyFill="1" applyBorder="1"/>
    <xf numFmtId="168" fontId="8" fillId="0" borderId="39" xfId="0" applyNumberFormat="1" applyFont="1" applyFill="1" applyBorder="1"/>
    <xf numFmtId="168" fontId="7" fillId="0" borderId="20" xfId="0" applyNumberFormat="1" applyFont="1" applyBorder="1"/>
    <xf numFmtId="0" fontId="7" fillId="0" borderId="19" xfId="0" applyFont="1" applyBorder="1"/>
    <xf numFmtId="0" fontId="7" fillId="0" borderId="36" xfId="0" applyFont="1" applyBorder="1"/>
    <xf numFmtId="168" fontId="7" fillId="28" borderId="20" xfId="0" applyNumberFormat="1" applyFont="1" applyFill="1" applyBorder="1" applyProtection="1">
      <protection locked="0"/>
    </xf>
    <xf numFmtId="168" fontId="7" fillId="28" borderId="19" xfId="0" applyNumberFormat="1" applyFont="1" applyFill="1" applyBorder="1" applyProtection="1">
      <protection locked="0"/>
    </xf>
    <xf numFmtId="168" fontId="7" fillId="28" borderId="36" xfId="0" applyNumberFormat="1" applyFont="1" applyFill="1" applyBorder="1" applyProtection="1">
      <protection locked="0"/>
    </xf>
    <xf numFmtId="168" fontId="7" fillId="0" borderId="33" xfId="0" applyNumberFormat="1" applyFont="1" applyFill="1" applyBorder="1"/>
    <xf numFmtId="168" fontId="8" fillId="0" borderId="50" xfId="0" applyNumberFormat="1" applyFont="1" applyFill="1" applyBorder="1"/>
    <xf numFmtId="0" fontId="8" fillId="0" borderId="11" xfId="0" applyNumberFormat="1" applyFont="1" applyBorder="1" applyAlignment="1">
      <alignment horizontal="left" indent="1"/>
    </xf>
    <xf numFmtId="0" fontId="8" fillId="0" borderId="11" xfId="0" applyNumberFormat="1" applyFont="1" applyBorder="1" applyAlignment="1">
      <alignment horizontal="center"/>
    </xf>
    <xf numFmtId="168" fontId="8" fillId="0" borderId="23" xfId="0" applyNumberFormat="1" applyFont="1" applyFill="1" applyBorder="1" applyProtection="1"/>
    <xf numFmtId="168" fontId="8" fillId="0" borderId="39" xfId="0" applyNumberFormat="1" applyFont="1" applyFill="1" applyBorder="1" applyProtection="1"/>
    <xf numFmtId="168" fontId="8" fillId="0" borderId="21" xfId="0" applyNumberFormat="1" applyFont="1" applyFill="1" applyBorder="1" applyProtection="1"/>
    <xf numFmtId="168" fontId="8" fillId="0" borderId="37" xfId="0" applyNumberFormat="1" applyFont="1" applyFill="1" applyBorder="1" applyProtection="1"/>
    <xf numFmtId="0" fontId="8" fillId="0" borderId="11" xfId="0" applyNumberFormat="1" applyFont="1" applyFill="1" applyBorder="1" applyAlignment="1">
      <alignment horizontal="left" indent="1"/>
    </xf>
    <xf numFmtId="0" fontId="8" fillId="0" borderId="11" xfId="0" applyNumberFormat="1" applyFont="1" applyFill="1" applyBorder="1" applyAlignment="1">
      <alignment horizontal="center"/>
    </xf>
    <xf numFmtId="168" fontId="7" fillId="0" borderId="19" xfId="0" applyNumberFormat="1" applyFont="1" applyFill="1" applyBorder="1"/>
    <xf numFmtId="168" fontId="8" fillId="0" borderId="65" xfId="0" applyNumberFormat="1" applyFont="1" applyFill="1" applyBorder="1"/>
    <xf numFmtId="168" fontId="8" fillId="0" borderId="60" xfId="0" applyNumberFormat="1" applyFont="1" applyBorder="1"/>
    <xf numFmtId="168" fontId="8" fillId="0" borderId="62" xfId="0" applyNumberFormat="1" applyFont="1" applyFill="1" applyBorder="1"/>
    <xf numFmtId="168" fontId="8" fillId="0" borderId="12" xfId="0" applyNumberFormat="1" applyFont="1" applyBorder="1"/>
    <xf numFmtId="0" fontId="8" fillId="0" borderId="5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168" fontId="8" fillId="0" borderId="22" xfId="0" applyNumberFormat="1" applyFont="1" applyFill="1" applyBorder="1"/>
    <xf numFmtId="168" fontId="7" fillId="0" borderId="55" xfId="0" applyNumberFormat="1" applyFont="1" applyFill="1" applyBorder="1" applyProtection="1"/>
    <xf numFmtId="168" fontId="7" fillId="0" borderId="22" xfId="0" applyNumberFormat="1" applyFont="1" applyFill="1" applyBorder="1" applyProtection="1"/>
    <xf numFmtId="168" fontId="8" fillId="0" borderId="22" xfId="0" applyNumberFormat="1" applyFont="1" applyBorder="1"/>
    <xf numFmtId="168" fontId="8" fillId="0" borderId="11" xfId="0" applyNumberFormat="1" applyFont="1" applyBorder="1"/>
    <xf numFmtId="0" fontId="7" fillId="0" borderId="46" xfId="0" applyFont="1" applyFill="1" applyBorder="1" applyAlignment="1">
      <alignment horizontal="left" indent="1"/>
    </xf>
    <xf numFmtId="0" fontId="4" fillId="29" borderId="66" xfId="0" applyFont="1" applyFill="1" applyBorder="1" applyAlignment="1">
      <alignment horizontal="center"/>
    </xf>
    <xf numFmtId="0" fontId="4" fillId="29" borderId="61" xfId="0" applyFont="1" applyFill="1" applyBorder="1" applyAlignment="1">
      <alignment horizontal="center"/>
    </xf>
    <xf numFmtId="0" fontId="4" fillId="29" borderId="17" xfId="0" applyFont="1" applyFill="1" applyBorder="1" applyAlignment="1">
      <alignment horizontal="center"/>
    </xf>
    <xf numFmtId="0" fontId="4" fillId="24" borderId="66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/>
    </xf>
    <xf numFmtId="0" fontId="8" fillId="0" borderId="6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0" xfId="0" quotePrefix="1" applyFont="1" applyBorder="1" applyAlignment="1" applyProtection="1">
      <alignment horizontal="left" wrapText="1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9" fontId="8" fillId="0" borderId="22" xfId="41" applyFont="1" applyFill="1" applyBorder="1" applyAlignment="1">
      <alignment horizontal="center" vertical="center" wrapText="1"/>
    </xf>
    <xf numFmtId="9" fontId="8" fillId="0" borderId="51" xfId="41" applyFont="1" applyFill="1" applyBorder="1" applyAlignment="1">
      <alignment horizontal="center" vertical="center" wrapText="1"/>
    </xf>
    <xf numFmtId="9" fontId="8" fillId="0" borderId="37" xfId="41" applyFont="1" applyFill="1" applyBorder="1" applyAlignment="1">
      <alignment horizontal="center" vertical="center" wrapText="1"/>
    </xf>
    <xf numFmtId="9" fontId="8" fillId="0" borderId="50" xfId="4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9" fontId="8" fillId="0" borderId="20" xfId="41" applyFont="1" applyFill="1" applyBorder="1" applyAlignment="1">
      <alignment horizontal="center" vertical="center" wrapText="1"/>
    </xf>
    <xf numFmtId="9" fontId="8" fillId="0" borderId="19" xfId="41" applyFont="1" applyFill="1" applyBorder="1" applyAlignment="1">
      <alignment horizontal="center" vertical="center" wrapText="1"/>
    </xf>
    <xf numFmtId="9" fontId="8" fillId="0" borderId="21" xfId="41" applyFont="1" applyFill="1" applyBorder="1" applyAlignment="1">
      <alignment horizontal="center" vertical="center" wrapText="1"/>
    </xf>
    <xf numFmtId="9" fontId="8" fillId="0" borderId="32" xfId="4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9" fontId="8" fillId="0" borderId="29" xfId="41" applyFont="1" applyFill="1" applyBorder="1" applyAlignment="1">
      <alignment horizontal="center" vertical="center" wrapText="1"/>
    </xf>
    <xf numFmtId="9" fontId="8" fillId="0" borderId="55" xfId="41" applyFont="1" applyFill="1" applyBorder="1" applyAlignment="1">
      <alignment horizontal="center" vertical="center" wrapText="1"/>
    </xf>
    <xf numFmtId="9" fontId="8" fillId="0" borderId="23" xfId="41" applyFont="1" applyFill="1" applyBorder="1" applyAlignment="1">
      <alignment horizontal="center" vertical="center" wrapText="1"/>
    </xf>
    <xf numFmtId="9" fontId="8" fillId="0" borderId="39" xfId="4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Final cover - LG Reporting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6" dropStyle="combo" dx="15" fmlaLink="$X$35" fmlaRange="$X$19:$X$33" noThreeD="1" sel="8" val="7"/>
</file>

<file path=xl/ctrlProps/ctrlProp2.xml><?xml version="1.0" encoding="utf-8"?>
<formControlPr xmlns="http://schemas.microsoft.com/office/spreadsheetml/2009/9/main" objectType="Drop" dropLines="10" dropStyle="combo" dx="15" fmlaLink="'Lookup and lists'!$B$27" fmlaRange="'Lookup and lists'!$B$29:$B$312" noThreeD="1" sel="171" val="274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20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66675</xdr:colOff>
      <xdr:row>39</xdr:row>
      <xdr:rowOff>95250</xdr:rowOff>
    </xdr:to>
    <xdr:grpSp>
      <xdr:nvGrpSpPr>
        <xdr:cNvPr id="3966" name="Group 29"/>
        <xdr:cNvGrpSpPr>
          <a:grpSpLocks/>
        </xdr:cNvGrpSpPr>
      </xdr:nvGrpSpPr>
      <xdr:grpSpPr bwMode="auto">
        <a:xfrm>
          <a:off x="0" y="9525"/>
          <a:ext cx="7582766" cy="6502111"/>
          <a:chOff x="0" y="1"/>
          <a:chExt cx="791" cy="672"/>
        </a:xfrm>
      </xdr:grpSpPr>
      <xdr:grpSp>
        <xdr:nvGrpSpPr>
          <xdr:cNvPr id="3968" name="Group 1"/>
          <xdr:cNvGrpSpPr>
            <a:grpSpLocks/>
          </xdr:cNvGrpSpPr>
        </xdr:nvGrpSpPr>
        <xdr:grpSpPr bwMode="auto">
          <a:xfrm>
            <a:off x="0" y="1"/>
            <a:ext cx="791" cy="672"/>
            <a:chOff x="0" y="1"/>
            <a:chExt cx="791" cy="672"/>
          </a:xfrm>
        </xdr:grpSpPr>
        <xdr:grpSp>
          <xdr:nvGrpSpPr>
            <xdr:cNvPr id="3970" name="Group 2"/>
            <xdr:cNvGrpSpPr>
              <a:grpSpLocks/>
            </xdr:cNvGrpSpPr>
          </xdr:nvGrpSpPr>
          <xdr:grpSpPr bwMode="auto">
            <a:xfrm>
              <a:off x="0" y="1"/>
              <a:ext cx="791" cy="672"/>
              <a:chOff x="12" y="17"/>
              <a:chExt cx="791" cy="672"/>
            </a:xfrm>
          </xdr:grpSpPr>
          <xdr:pic>
            <xdr:nvPicPr>
              <xdr:cNvPr id="3972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/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3973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grpSp>
            <xdr:nvGrpSpPr>
              <xdr:cNvPr id="3974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3979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grpSp>
              <xdr:nvGrpSpPr>
                <xdr:cNvPr id="3980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3982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</xdr:pic>
              <xdr:sp macro="" textlink="">
                <xdr:nvSpPr>
                  <xdr:cNvPr id="3983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sp macro="" textlink="">
              <xdr:nvSpPr>
                <xdr:cNvPr id="3082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/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Technical enquiries to the MFMA Helpline at: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lgdataqueries@treasury.gov.za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Data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Queries on formats: lgdataqueries@treasury.gov.za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3975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3976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/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3977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 cstate="print"/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3978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 cstate="print"/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</xdr:grpSp>
        </xdr:grpSp>
        <xdr:pic>
          <xdr:nvPicPr>
            <xdr:cNvPr id="3971" name="Picture 15" descr="E1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1" y="12"/>
              <a:ext cx="770" cy="2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3099" name="Text Box 27"/>
          <xdr:cNvSpPr txBox="1">
            <a:spLocks noChangeArrowheads="1"/>
          </xdr:cNvSpPr>
        </xdr:nvSpPr>
        <xdr:spPr bwMode="auto">
          <a:xfrm>
            <a:off x="654" y="203"/>
            <a:ext cx="111" cy="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2.7(1)</a:t>
            </a: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3098" name="Text Box 26"/>
        <xdr:cNvSpPr txBox="1">
          <a:spLocks noChangeArrowheads="1"/>
        </xdr:cNvSpPr>
      </xdr:nvSpPr>
      <xdr:spPr bwMode="auto">
        <a:xfrm>
          <a:off x="619125" y="2581275"/>
          <a:ext cx="200025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43</xdr:row>
      <xdr:rowOff>19050</xdr:rowOff>
    </xdr:to>
    <xdr:pic>
      <xdr:nvPicPr>
        <xdr:cNvPr id="5000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534275" cy="698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</xdr:row>
      <xdr:rowOff>152400</xdr:rowOff>
    </xdr:from>
    <xdr:to>
      <xdr:col>12</xdr:col>
      <xdr:colOff>123825</xdr:colOff>
      <xdr:row>42</xdr:row>
      <xdr:rowOff>47625</xdr:rowOff>
    </xdr:to>
    <xdr:pic>
      <xdr:nvPicPr>
        <xdr:cNvPr id="5001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75" y="4200525"/>
          <a:ext cx="733425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7</xdr:row>
      <xdr:rowOff>47625</xdr:rowOff>
    </xdr:from>
    <xdr:to>
      <xdr:col>5</xdr:col>
      <xdr:colOff>76200</xdr:colOff>
      <xdr:row>9</xdr:row>
      <xdr:rowOff>104775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Municipal Entity  Name:</a:t>
          </a:r>
        </a:p>
      </xdr:txBody>
    </xdr:sp>
    <xdr:clientData/>
  </xdr:twoCellAnchor>
  <xdr:twoCellAnchor editAs="oneCell">
    <xdr:from>
      <xdr:col>0</xdr:col>
      <xdr:colOff>228600</xdr:colOff>
      <xdr:row>19</xdr:row>
      <xdr:rowOff>142875</xdr:rowOff>
    </xdr:from>
    <xdr:to>
      <xdr:col>5</xdr:col>
      <xdr:colOff>114300</xdr:colOff>
      <xdr:row>22</xdr:row>
      <xdr:rowOff>152400</xdr:rowOff>
    </xdr:to>
    <xdr:sp macro="" textlink="">
      <xdr:nvSpPr>
        <xdr:cNvPr id="4103" name="Text Box 22"/>
        <xdr:cNvSpPr txBox="1">
          <a:spLocks noChangeArrowheads="1"/>
        </xdr:cNvSpPr>
      </xdr:nvSpPr>
      <xdr:spPr bwMode="auto">
        <a:xfrm>
          <a:off x="228600" y="3219450"/>
          <a:ext cx="2933700" cy="495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19</xdr:row>
      <xdr:rowOff>152400</xdr:rowOff>
    </xdr:from>
    <xdr:to>
      <xdr:col>9</xdr:col>
      <xdr:colOff>476250</xdr:colOff>
      <xdr:row>23</xdr:row>
      <xdr:rowOff>0</xdr:rowOff>
    </xdr:to>
    <xdr:sp macro="" textlink="">
      <xdr:nvSpPr>
        <xdr:cNvPr id="4104" name="Text Box 24"/>
        <xdr:cNvSpPr txBox="1">
          <a:spLocks noChangeArrowheads="1"/>
        </xdr:cNvSpPr>
      </xdr:nvSpPr>
      <xdr:spPr bwMode="auto">
        <a:xfrm>
          <a:off x="4524375" y="3228975"/>
          <a:ext cx="1438275" cy="495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200025</xdr:colOff>
      <xdr:row>10</xdr:row>
      <xdr:rowOff>47625</xdr:rowOff>
    </xdr:from>
    <xdr:to>
      <xdr:col>5</xdr:col>
      <xdr:colOff>85725</xdr:colOff>
      <xdr:row>12</xdr:row>
      <xdr:rowOff>19050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12</xdr:row>
      <xdr:rowOff>104775</xdr:rowOff>
    </xdr:from>
    <xdr:to>
      <xdr:col>5</xdr:col>
      <xdr:colOff>85725</xdr:colOff>
      <xdr:row>14</xdr:row>
      <xdr:rowOff>76200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15</xdr:row>
      <xdr:rowOff>9525</xdr:rowOff>
    </xdr:from>
    <xdr:to>
      <xdr:col>5</xdr:col>
      <xdr:colOff>95250</xdr:colOff>
      <xdr:row>17</xdr:row>
      <xdr:rowOff>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12</xdr:row>
      <xdr:rowOff>123825</xdr:rowOff>
    </xdr:from>
    <xdr:to>
      <xdr:col>8</xdr:col>
      <xdr:colOff>552450</xdr:colOff>
      <xdr:row>14</xdr:row>
      <xdr:rowOff>95250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xdr:twoCellAnchor>
    <xdr:from>
      <xdr:col>2</xdr:col>
      <xdr:colOff>228600</xdr:colOff>
      <xdr:row>17</xdr:row>
      <xdr:rowOff>28575</xdr:rowOff>
    </xdr:from>
    <xdr:to>
      <xdr:col>5</xdr:col>
      <xdr:colOff>114300</xdr:colOff>
      <xdr:row>20</xdr:row>
      <xdr:rowOff>38100</xdr:rowOff>
    </xdr:to>
    <xdr:sp macro="" textlink="">
      <xdr:nvSpPr>
        <xdr:cNvPr id="4125" name="Text Box 24"/>
        <xdr:cNvSpPr txBox="1">
          <a:spLocks noChangeArrowheads="1"/>
        </xdr:cNvSpPr>
      </xdr:nvSpPr>
      <xdr:spPr bwMode="auto">
        <a:xfrm>
          <a:off x="1447800" y="2781300"/>
          <a:ext cx="1714500" cy="495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Date of Adjustment:</a:t>
          </a:r>
        </a:p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dd/mm/yyyy</a:t>
          </a:r>
        </a:p>
      </xdr:txBody>
    </xdr:sp>
    <xdr:clientData/>
  </xdr:twoCellAnchor>
  <xdr:twoCellAnchor>
    <xdr:from>
      <xdr:col>0</xdr:col>
      <xdr:colOff>238125</xdr:colOff>
      <xdr:row>26</xdr:row>
      <xdr:rowOff>57150</xdr:rowOff>
    </xdr:from>
    <xdr:to>
      <xdr:col>5</xdr:col>
      <xdr:colOff>581025</xdr:colOff>
      <xdr:row>29</xdr:row>
      <xdr:rowOff>66675</xdr:rowOff>
    </xdr:to>
    <xdr:sp macro="" textlink="">
      <xdr:nvSpPr>
        <xdr:cNvPr id="4127" name="Text Box 18"/>
        <xdr:cNvSpPr txBox="1">
          <a:spLocks noChangeArrowheads="1"/>
        </xdr:cNvSpPr>
      </xdr:nvSpPr>
      <xdr:spPr bwMode="auto">
        <a:xfrm>
          <a:off x="238125" y="4267200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0</xdr:col>
      <xdr:colOff>209550</xdr:colOff>
      <xdr:row>29</xdr:row>
      <xdr:rowOff>66675</xdr:rowOff>
    </xdr:from>
    <xdr:to>
      <xdr:col>4</xdr:col>
      <xdr:colOff>447675</xdr:colOff>
      <xdr:row>31</xdr:row>
      <xdr:rowOff>114300</xdr:rowOff>
    </xdr:to>
    <xdr:sp macro="" textlink="">
      <xdr:nvSpPr>
        <xdr:cNvPr id="4128" name="Text Box 32"/>
        <xdr:cNvSpPr txBox="1">
          <a:spLocks noChangeArrowheads="1"/>
        </xdr:cNvSpPr>
      </xdr:nvSpPr>
      <xdr:spPr bwMode="auto">
        <a:xfrm>
          <a:off x="209550" y="4762500"/>
          <a:ext cx="2676525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133350</xdr:colOff>
      <xdr:row>36</xdr:row>
      <xdr:rowOff>152400</xdr:rowOff>
    </xdr:from>
    <xdr:to>
      <xdr:col>5</xdr:col>
      <xdr:colOff>114300</xdr:colOff>
      <xdr:row>39</xdr:row>
      <xdr:rowOff>38100</xdr:rowOff>
    </xdr:to>
    <xdr:sp macro="" textlink="">
      <xdr:nvSpPr>
        <xdr:cNvPr id="4129" name="Text Box 33"/>
        <xdr:cNvSpPr txBox="1">
          <a:spLocks noChangeArrowheads="1"/>
        </xdr:cNvSpPr>
      </xdr:nvSpPr>
      <xdr:spPr bwMode="auto">
        <a:xfrm>
          <a:off x="133350" y="5981700"/>
          <a:ext cx="302895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xdr:twoCellAnchor>
    <xdr:from>
      <xdr:col>6</xdr:col>
      <xdr:colOff>228600</xdr:colOff>
      <xdr:row>26</xdr:row>
      <xdr:rowOff>66675</xdr:rowOff>
    </xdr:from>
    <xdr:to>
      <xdr:col>11</xdr:col>
      <xdr:colOff>571500</xdr:colOff>
      <xdr:row>29</xdr:row>
      <xdr:rowOff>76200</xdr:rowOff>
    </xdr:to>
    <xdr:sp macro="" textlink="">
      <xdr:nvSpPr>
        <xdr:cNvPr id="4130" name="Text Box 18"/>
        <xdr:cNvSpPr txBox="1">
          <a:spLocks noChangeArrowheads="1"/>
        </xdr:cNvSpPr>
      </xdr:nvSpPr>
      <xdr:spPr bwMode="auto">
        <a:xfrm>
          <a:off x="3886200" y="4276725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Submission of Data</a:t>
          </a:r>
        </a:p>
      </xdr:txBody>
    </xdr:sp>
    <xdr:clientData/>
  </xdr:twoCellAnchor>
  <xdr:twoCellAnchor>
    <xdr:from>
      <xdr:col>6</xdr:col>
      <xdr:colOff>381000</xdr:colOff>
      <xdr:row>29</xdr:row>
      <xdr:rowOff>85725</xdr:rowOff>
    </xdr:from>
    <xdr:to>
      <xdr:col>11</xdr:col>
      <xdr:colOff>361950</xdr:colOff>
      <xdr:row>31</xdr:row>
      <xdr:rowOff>95250</xdr:rowOff>
    </xdr:to>
    <xdr:sp macro="" textlink="">
      <xdr:nvSpPr>
        <xdr:cNvPr id="4131" name="Text Box 35"/>
        <xdr:cNvSpPr txBox="1">
          <a:spLocks noChangeArrowheads="1"/>
        </xdr:cNvSpPr>
      </xdr:nvSpPr>
      <xdr:spPr bwMode="auto">
        <a:xfrm>
          <a:off x="4038600" y="4781550"/>
          <a:ext cx="3028950" cy="3333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Preparing Data File for Submission</a:t>
          </a:r>
        </a:p>
      </xdr:txBody>
    </xdr:sp>
    <xdr:clientData/>
  </xdr:twoCellAnchor>
  <xdr:twoCellAnchor>
    <xdr:from>
      <xdr:col>0</xdr:col>
      <xdr:colOff>190500</xdr:colOff>
      <xdr:row>4</xdr:row>
      <xdr:rowOff>76200</xdr:rowOff>
    </xdr:from>
    <xdr:to>
      <xdr:col>5</xdr:col>
      <xdr:colOff>76200</xdr:colOff>
      <xdr:row>6</xdr:row>
      <xdr:rowOff>133350</xdr:rowOff>
    </xdr:to>
    <xdr:sp macro="" textlink="">
      <xdr:nvSpPr>
        <xdr:cNvPr id="2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114300</xdr:rowOff>
        </xdr:from>
        <xdr:to>
          <xdr:col>11</xdr:col>
          <xdr:colOff>228600</xdr:colOff>
          <xdr:row>9</xdr:row>
          <xdr:rowOff>57150</xdr:rowOff>
        </xdr:to>
        <xdr:sp macro="" textlink="">
          <xdr:nvSpPr>
            <xdr:cNvPr id="4113" name="TextBox1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104775</xdr:rowOff>
        </xdr:from>
        <xdr:to>
          <xdr:col>7</xdr:col>
          <xdr:colOff>219075</xdr:colOff>
          <xdr:row>22</xdr:row>
          <xdr:rowOff>38100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20</xdr:row>
          <xdr:rowOff>76200</xdr:rowOff>
        </xdr:from>
        <xdr:to>
          <xdr:col>11</xdr:col>
          <xdr:colOff>466725</xdr:colOff>
          <xdr:row>22</xdr:row>
          <xdr:rowOff>76200</xdr:rowOff>
        </xdr:to>
        <xdr:pic>
          <xdr:nvPicPr>
            <xdr:cNvPr id="4992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4993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3314700"/>
              <a:ext cx="1104900" cy="323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95250</xdr:rowOff>
        </xdr:from>
        <xdr:to>
          <xdr:col>11</xdr:col>
          <xdr:colOff>228600</xdr:colOff>
          <xdr:row>12</xdr:row>
          <xdr:rowOff>28575</xdr:rowOff>
        </xdr:to>
        <xdr:sp macro="" textlink="">
          <xdr:nvSpPr>
            <xdr:cNvPr id="4118" name="TextBox3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9525</xdr:rowOff>
        </xdr:from>
        <xdr:to>
          <xdr:col>7</xdr:col>
          <xdr:colOff>533400</xdr:colOff>
          <xdr:row>14</xdr:row>
          <xdr:rowOff>104775</xdr:rowOff>
        </xdr:to>
        <xdr:sp macro="" textlink="">
          <xdr:nvSpPr>
            <xdr:cNvPr id="4119" name="TextBox4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</xdr:row>
          <xdr:rowOff>76200</xdr:rowOff>
        </xdr:from>
        <xdr:to>
          <xdr:col>11</xdr:col>
          <xdr:colOff>228600</xdr:colOff>
          <xdr:row>17</xdr:row>
          <xdr:rowOff>9525</xdr:rowOff>
        </xdr:to>
        <xdr:sp macro="" textlink="">
          <xdr:nvSpPr>
            <xdr:cNvPr id="4120" name="TextBox5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28575</xdr:rowOff>
        </xdr:from>
        <xdr:to>
          <xdr:col>11</xdr:col>
          <xdr:colOff>228600</xdr:colOff>
          <xdr:row>14</xdr:row>
          <xdr:rowOff>123825</xdr:rowOff>
        </xdr:to>
        <xdr:sp macro="" textlink="">
          <xdr:nvSpPr>
            <xdr:cNvPr id="4121" name="TextBox6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114300</xdr:rowOff>
        </xdr:from>
        <xdr:to>
          <xdr:col>4</xdr:col>
          <xdr:colOff>523875</xdr:colOff>
          <xdr:row>33</xdr:row>
          <xdr:rowOff>104775</xdr:rowOff>
        </xdr:to>
        <xdr:sp macro="" textlink="">
          <xdr:nvSpPr>
            <xdr:cNvPr id="4122" name="ToggleReferenceColumns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34</xdr:row>
          <xdr:rowOff>76200</xdr:rowOff>
        </xdr:from>
        <xdr:to>
          <xdr:col>4</xdr:col>
          <xdr:colOff>504825</xdr:colOff>
          <xdr:row>36</xdr:row>
          <xdr:rowOff>76200</xdr:rowOff>
        </xdr:to>
        <xdr:sp macro="" textlink="">
          <xdr:nvSpPr>
            <xdr:cNvPr id="4123" name="TogglePreAuditColums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39</xdr:row>
          <xdr:rowOff>66675</xdr:rowOff>
        </xdr:from>
        <xdr:to>
          <xdr:col>4</xdr:col>
          <xdr:colOff>504825</xdr:colOff>
          <xdr:row>41</xdr:row>
          <xdr:rowOff>57150</xdr:rowOff>
        </xdr:to>
        <xdr:sp macro="" textlink="">
          <xdr:nvSpPr>
            <xdr:cNvPr id="4124" name="ToggleHiddenColumns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19050</xdr:rowOff>
        </xdr:from>
        <xdr:to>
          <xdr:col>7</xdr:col>
          <xdr:colOff>381000</xdr:colOff>
          <xdr:row>19</xdr:row>
          <xdr:rowOff>114300</xdr:rowOff>
        </xdr:to>
        <xdr:sp macro="" textlink="">
          <xdr:nvSpPr>
            <xdr:cNvPr id="4126" name="DateOfAdjustment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31</xdr:row>
          <xdr:rowOff>114300</xdr:rowOff>
        </xdr:from>
        <xdr:to>
          <xdr:col>10</xdr:col>
          <xdr:colOff>561975</xdr:colOff>
          <xdr:row>33</xdr:row>
          <xdr:rowOff>104775</xdr:rowOff>
        </xdr:to>
        <xdr:sp macro="" textlink="">
          <xdr:nvSpPr>
            <xdr:cNvPr id="4132" name="ToggleButton1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9525</xdr:rowOff>
        </xdr:from>
        <xdr:to>
          <xdr:col>11</xdr:col>
          <xdr:colOff>219075</xdr:colOff>
          <xdr:row>6</xdr:row>
          <xdr:rowOff>95250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</xdr:row>
          <xdr:rowOff>104775</xdr:rowOff>
        </xdr:from>
        <xdr:to>
          <xdr:col>7</xdr:col>
          <xdr:colOff>66675</xdr:colOff>
          <xdr:row>3</xdr:row>
          <xdr:rowOff>104775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2.%20Development\00.%20Final%20-%20March%202009\2.%20Formats\1.%20Formats%2029.03.2009\B%20Schedule%20Municipal%20Adjustments%20Budget%20-%2006%20April%202009%20c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2.%20Development\00.%20Final%20-%20March%202009\2.%20Formats\1.%20Formats%2029.03.2009\C%20Schedule%20Municipal%20Monthly%20Budget%20Statement%20-%2006%20April%202009%20c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0.%20Final%20-%20June%202008\3.%20Formats%20-%2002%20July%202008\B%20Schedule%20Municipal%20Adjustments%20Budg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upa/AppData/Local/Microsoft/Windows/Temporary%20Internet%20Files/Content.Outlook/9N531Z5N/Copy%20of%20GTEDA%20revised%20multi%20year%20budget-2014-2017%20VEL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9"/>
      <sheetName val="SB20"/>
    </sheetNames>
    <sheetDataSet>
      <sheetData sheetId="0" refreshError="1"/>
      <sheetData sheetId="1" refreshError="1"/>
      <sheetData sheetId="2" refreshError="1">
        <row r="64">
          <cell r="B64">
            <v>2</v>
          </cell>
          <cell r="D6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09">
          <cell r="B109" t="str">
            <v>Consolidated Service (basic) delivery measurement</v>
          </cell>
        </row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3">
          <cell r="B3">
            <v>2007</v>
          </cell>
        </row>
        <row r="4">
          <cell r="B4" t="str">
            <v>2006/07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1-Sum"/>
      <sheetName val="C2-FinPerf S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71charts"/>
      <sheetName val="C2C"/>
      <sheetName val="Contacts"/>
      <sheetName val="SC71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Lookup and lists"/>
      <sheetName val="Template Names"/>
      <sheetName val="Org Structure"/>
      <sheetName val="Municipal Adjust Summary B1"/>
      <sheetName val="Vote B2"/>
      <sheetName val="Standard Class B3"/>
      <sheetName val="FinPerf B4"/>
      <sheetName val="Capital B5"/>
      <sheetName val="FinPos B6"/>
      <sheetName val="Cash B7"/>
      <sheetName val="Cash backing B8"/>
      <sheetName val="Assets B9"/>
      <sheetName val="Service Del B10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B14"/>
      <sheetName val="B15"/>
      <sheetName val="B16"/>
      <sheetName val="B17"/>
      <sheetName val="B18"/>
      <sheetName val="B19"/>
      <sheetName val="B20"/>
      <sheetName val="B Schedule Municipal Adjustment"/>
    </sheetNames>
    <sheetDataSet>
      <sheetData sheetId="0" refreshError="1"/>
      <sheetData sheetId="1" refreshError="1"/>
      <sheetData sheetId="2" refreshError="1">
        <row r="2">
          <cell r="L2" t="str">
            <v>Yes</v>
          </cell>
        </row>
        <row r="3">
          <cell r="L3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4">
          <cell r="G14">
            <v>5500000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7.emf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23" Type="http://schemas.openxmlformats.org/officeDocument/2006/relationships/image" Target="../media/image18.emf"/><Relationship Id="rId10" Type="http://schemas.openxmlformats.org/officeDocument/2006/relationships/control" Target="../activeX/activeX4.xml"/><Relationship Id="rId19" Type="http://schemas.openxmlformats.org/officeDocument/2006/relationships/image" Target="../media/image16.emf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"/>
  <sheetViews>
    <sheetView showGridLines="0" topLeftCell="A19" zoomScale="110" workbookViewId="0"/>
  </sheetViews>
  <sheetFormatPr defaultColWidth="8" defaultRowHeight="12.75" x14ac:dyDescent="0.2"/>
  <cols>
    <col min="1" max="16384" width="8" style="287"/>
  </cols>
  <sheetData>
    <row r="1" spans="1:1" x14ac:dyDescent="0.2">
      <c r="A1" s="335" t="s">
        <v>597</v>
      </c>
    </row>
  </sheetData>
  <sheetProtection sheet="1" objects="1" scenarios="1"/>
  <phoneticPr fontId="18" type="noConversion"/>
  <pageMargins left="0.75" right="0.75" top="1" bottom="1" header="0.5" footer="0.5"/>
  <pageSetup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0">
    <tabColor rgb="FFC4FCDF"/>
    <pageSetUpPr fitToPage="1"/>
  </sheetPr>
  <dimension ref="A1:L35"/>
  <sheetViews>
    <sheetView showGridLines="0" workbookViewId="0">
      <pane xSplit="2" ySplit="5" topLeftCell="C6" activePane="bottomRight" state="frozen"/>
      <selection activeCell="F27" sqref="F27"/>
      <selection pane="topRight" activeCell="F27" sqref="F27"/>
      <selection pane="bottomLeft" activeCell="F27" sqref="F27"/>
      <selection pane="bottomRight" activeCell="A6" sqref="A6"/>
    </sheetView>
  </sheetViews>
  <sheetFormatPr defaultRowHeight="12.75" x14ac:dyDescent="0.25"/>
  <cols>
    <col min="1" max="1" width="35.7109375" style="20" customWidth="1"/>
    <col min="2" max="2" width="15.7109375" style="20" customWidth="1"/>
    <col min="3" max="12" width="8.7109375" style="20" customWidth="1"/>
    <col min="13" max="16384" width="9.140625" style="20"/>
  </cols>
  <sheetData>
    <row r="1" spans="1:12" ht="13.5" x14ac:dyDescent="0.25">
      <c r="A1" s="19" t="str">
        <f>MEAB5&amp;" - "&amp;Date</f>
        <v>Greater Tzaneen Development Agency - Supporting Table SE1  Adjustments Budget - measurable performance targets - 29/02/2016</v>
      </c>
      <c r="B1" s="47"/>
    </row>
    <row r="2" spans="1:12" ht="38.25" x14ac:dyDescent="0.25">
      <c r="A2" s="440" t="s">
        <v>533</v>
      </c>
      <c r="B2" s="438" t="s">
        <v>38</v>
      </c>
      <c r="C2" s="437" t="str">
        <f>Head9</f>
        <v>Budget Year 2015/16</v>
      </c>
      <c r="D2" s="434"/>
      <c r="E2" s="434"/>
      <c r="F2" s="434"/>
      <c r="G2" s="434"/>
      <c r="H2" s="434"/>
      <c r="I2" s="434"/>
      <c r="J2" s="435"/>
      <c r="K2" s="21" t="str">
        <f>Head10</f>
        <v>Budget Year +1 2016/17</v>
      </c>
      <c r="L2" s="83" t="str">
        <f>Head11</f>
        <v>Budget Year +2 2017/18</v>
      </c>
    </row>
    <row r="3" spans="1:12" ht="25.5" x14ac:dyDescent="0.25">
      <c r="A3" s="441"/>
      <c r="B3" s="439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41"/>
      <c r="B4" s="439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443"/>
      <c r="B5" s="444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x14ac:dyDescent="0.25">
      <c r="A6" s="218"/>
      <c r="B6" s="219"/>
      <c r="C6" s="220"/>
      <c r="D6" s="221"/>
      <c r="E6" s="221"/>
      <c r="F6" s="221"/>
      <c r="G6" s="221"/>
      <c r="H6" s="221"/>
      <c r="I6" s="29">
        <f>SUM(E6:H6)</f>
        <v>0</v>
      </c>
      <c r="J6" s="29">
        <f>IF(D6=0,C6+I6,D6+I6)</f>
        <v>0</v>
      </c>
      <c r="K6" s="231"/>
      <c r="L6" s="232"/>
    </row>
    <row r="7" spans="1:12" ht="12.75" customHeight="1" x14ac:dyDescent="0.25">
      <c r="A7" s="222"/>
      <c r="B7" s="223"/>
      <c r="C7" s="211"/>
      <c r="D7" s="212"/>
      <c r="E7" s="212"/>
      <c r="F7" s="212"/>
      <c r="G7" s="212"/>
      <c r="H7" s="212"/>
      <c r="I7" s="29">
        <f t="shared" ref="I7:I24" si="0">SUM(E7:H7)</f>
        <v>0</v>
      </c>
      <c r="J7" s="29">
        <f t="shared" ref="J7:J24" si="1">IF(D7=0,C7+I7,D7+I7)</f>
        <v>0</v>
      </c>
      <c r="K7" s="212"/>
      <c r="L7" s="213"/>
    </row>
    <row r="8" spans="1:12" ht="12.75" customHeight="1" x14ac:dyDescent="0.25">
      <c r="A8" s="222"/>
      <c r="B8" s="223"/>
      <c r="C8" s="211"/>
      <c r="D8" s="212"/>
      <c r="E8" s="212"/>
      <c r="F8" s="212"/>
      <c r="G8" s="212"/>
      <c r="H8" s="212"/>
      <c r="I8" s="29">
        <f t="shared" si="0"/>
        <v>0</v>
      </c>
      <c r="J8" s="29">
        <f t="shared" si="1"/>
        <v>0</v>
      </c>
      <c r="K8" s="212"/>
      <c r="L8" s="213"/>
    </row>
    <row r="9" spans="1:12" ht="12.75" customHeight="1" x14ac:dyDescent="0.25">
      <c r="A9" s="222"/>
      <c r="B9" s="223"/>
      <c r="C9" s="211"/>
      <c r="D9" s="212"/>
      <c r="E9" s="212"/>
      <c r="F9" s="212"/>
      <c r="G9" s="212"/>
      <c r="H9" s="212"/>
      <c r="I9" s="29">
        <f t="shared" si="0"/>
        <v>0</v>
      </c>
      <c r="J9" s="29">
        <f t="shared" si="1"/>
        <v>0</v>
      </c>
      <c r="K9" s="212"/>
      <c r="L9" s="213"/>
    </row>
    <row r="10" spans="1:12" ht="12.75" customHeight="1" x14ac:dyDescent="0.25">
      <c r="A10" s="222"/>
      <c r="B10" s="223"/>
      <c r="C10" s="211"/>
      <c r="D10" s="212"/>
      <c r="E10" s="212"/>
      <c r="F10" s="212"/>
      <c r="G10" s="212"/>
      <c r="H10" s="212"/>
      <c r="I10" s="29">
        <f t="shared" si="0"/>
        <v>0</v>
      </c>
      <c r="J10" s="29">
        <f t="shared" si="1"/>
        <v>0</v>
      </c>
      <c r="K10" s="212"/>
      <c r="L10" s="213"/>
    </row>
    <row r="11" spans="1:12" ht="12.75" customHeight="1" x14ac:dyDescent="0.25">
      <c r="A11" s="222"/>
      <c r="B11" s="223"/>
      <c r="C11" s="211"/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0</v>
      </c>
      <c r="K11" s="212"/>
      <c r="L11" s="213"/>
    </row>
    <row r="12" spans="1:12" ht="12.75" customHeight="1" x14ac:dyDescent="0.25">
      <c r="A12" s="222"/>
      <c r="B12" s="223"/>
      <c r="C12" s="211"/>
      <c r="D12" s="212"/>
      <c r="E12" s="212"/>
      <c r="F12" s="212"/>
      <c r="G12" s="212"/>
      <c r="H12" s="212"/>
      <c r="I12" s="29">
        <f t="shared" si="0"/>
        <v>0</v>
      </c>
      <c r="J12" s="29">
        <f t="shared" si="1"/>
        <v>0</v>
      </c>
      <c r="K12" s="212"/>
      <c r="L12" s="213"/>
    </row>
    <row r="13" spans="1:12" ht="12.75" customHeight="1" x14ac:dyDescent="0.25">
      <c r="A13" s="222"/>
      <c r="B13" s="223"/>
      <c r="C13" s="211"/>
      <c r="D13" s="212"/>
      <c r="E13" s="212"/>
      <c r="F13" s="212"/>
      <c r="G13" s="212"/>
      <c r="H13" s="212"/>
      <c r="I13" s="29">
        <f t="shared" si="0"/>
        <v>0</v>
      </c>
      <c r="J13" s="29">
        <f t="shared" si="1"/>
        <v>0</v>
      </c>
      <c r="K13" s="212"/>
      <c r="L13" s="213"/>
    </row>
    <row r="14" spans="1:12" ht="12.75" customHeight="1" x14ac:dyDescent="0.25">
      <c r="A14" s="222"/>
      <c r="B14" s="223"/>
      <c r="C14" s="211"/>
      <c r="D14" s="212"/>
      <c r="E14" s="212"/>
      <c r="F14" s="212"/>
      <c r="G14" s="212"/>
      <c r="H14" s="212"/>
      <c r="I14" s="29">
        <f t="shared" si="0"/>
        <v>0</v>
      </c>
      <c r="J14" s="29">
        <f t="shared" si="1"/>
        <v>0</v>
      </c>
      <c r="K14" s="212"/>
      <c r="L14" s="213"/>
    </row>
    <row r="15" spans="1:12" ht="12.75" customHeight="1" x14ac:dyDescent="0.25">
      <c r="A15" s="222"/>
      <c r="B15" s="223"/>
      <c r="C15" s="211"/>
      <c r="D15" s="212"/>
      <c r="E15" s="212"/>
      <c r="F15" s="212"/>
      <c r="G15" s="212"/>
      <c r="H15" s="212"/>
      <c r="I15" s="29">
        <f t="shared" si="0"/>
        <v>0</v>
      </c>
      <c r="J15" s="29">
        <f t="shared" si="1"/>
        <v>0</v>
      </c>
      <c r="K15" s="212"/>
      <c r="L15" s="213"/>
    </row>
    <row r="16" spans="1:12" ht="12.75" customHeight="1" x14ac:dyDescent="0.25">
      <c r="A16" s="222"/>
      <c r="B16" s="223"/>
      <c r="C16" s="211"/>
      <c r="D16" s="212"/>
      <c r="E16" s="212"/>
      <c r="F16" s="212"/>
      <c r="G16" s="212"/>
      <c r="H16" s="212"/>
      <c r="I16" s="29">
        <f t="shared" si="0"/>
        <v>0</v>
      </c>
      <c r="J16" s="29">
        <f t="shared" si="1"/>
        <v>0</v>
      </c>
      <c r="K16" s="212"/>
      <c r="L16" s="213"/>
    </row>
    <row r="17" spans="1:12" ht="12.75" customHeight="1" x14ac:dyDescent="0.25">
      <c r="A17" s="222"/>
      <c r="B17" s="223"/>
      <c r="C17" s="211"/>
      <c r="D17" s="212"/>
      <c r="E17" s="212"/>
      <c r="F17" s="212"/>
      <c r="G17" s="212"/>
      <c r="H17" s="212"/>
      <c r="I17" s="29">
        <f t="shared" si="0"/>
        <v>0</v>
      </c>
      <c r="J17" s="29">
        <f t="shared" si="1"/>
        <v>0</v>
      </c>
      <c r="K17" s="212"/>
      <c r="L17" s="213"/>
    </row>
    <row r="18" spans="1:12" ht="12.75" customHeight="1" x14ac:dyDescent="0.25">
      <c r="A18" s="222"/>
      <c r="B18" s="223"/>
      <c r="C18" s="211"/>
      <c r="D18" s="212"/>
      <c r="E18" s="212"/>
      <c r="F18" s="212"/>
      <c r="G18" s="212"/>
      <c r="H18" s="212"/>
      <c r="I18" s="29">
        <f t="shared" si="0"/>
        <v>0</v>
      </c>
      <c r="J18" s="29">
        <f t="shared" si="1"/>
        <v>0</v>
      </c>
      <c r="K18" s="212"/>
      <c r="L18" s="213"/>
    </row>
    <row r="19" spans="1:12" ht="12.75" customHeight="1" x14ac:dyDescent="0.25">
      <c r="A19" s="222"/>
      <c r="B19" s="223"/>
      <c r="C19" s="211"/>
      <c r="D19" s="212"/>
      <c r="E19" s="212"/>
      <c r="F19" s="212"/>
      <c r="G19" s="212"/>
      <c r="H19" s="212"/>
      <c r="I19" s="29">
        <f t="shared" si="0"/>
        <v>0</v>
      </c>
      <c r="J19" s="29">
        <f t="shared" si="1"/>
        <v>0</v>
      </c>
      <c r="K19" s="212"/>
      <c r="L19" s="213"/>
    </row>
    <row r="20" spans="1:12" ht="12.75" customHeight="1" x14ac:dyDescent="0.25">
      <c r="A20" s="224"/>
      <c r="B20" s="225"/>
      <c r="C20" s="211"/>
      <c r="D20" s="212"/>
      <c r="E20" s="212"/>
      <c r="F20" s="212"/>
      <c r="G20" s="212"/>
      <c r="H20" s="212"/>
      <c r="I20" s="29">
        <f t="shared" si="0"/>
        <v>0</v>
      </c>
      <c r="J20" s="29">
        <f t="shared" si="1"/>
        <v>0</v>
      </c>
      <c r="K20" s="212"/>
      <c r="L20" s="213"/>
    </row>
    <row r="21" spans="1:12" ht="12.75" customHeight="1" x14ac:dyDescent="0.25">
      <c r="A21" s="222"/>
      <c r="B21" s="223"/>
      <c r="C21" s="211"/>
      <c r="D21" s="212"/>
      <c r="E21" s="212"/>
      <c r="F21" s="212"/>
      <c r="G21" s="212"/>
      <c r="H21" s="212"/>
      <c r="I21" s="29">
        <f t="shared" si="0"/>
        <v>0</v>
      </c>
      <c r="J21" s="29">
        <f t="shared" si="1"/>
        <v>0</v>
      </c>
      <c r="K21" s="212"/>
      <c r="L21" s="213"/>
    </row>
    <row r="22" spans="1:12" ht="12.75" customHeight="1" x14ac:dyDescent="0.25">
      <c r="A22" s="224"/>
      <c r="B22" s="226"/>
      <c r="C22" s="211"/>
      <c r="D22" s="212"/>
      <c r="E22" s="212"/>
      <c r="F22" s="212"/>
      <c r="G22" s="212"/>
      <c r="H22" s="212"/>
      <c r="I22" s="29">
        <f t="shared" si="0"/>
        <v>0</v>
      </c>
      <c r="J22" s="29">
        <f t="shared" si="1"/>
        <v>0</v>
      </c>
      <c r="K22" s="212"/>
      <c r="L22" s="213"/>
    </row>
    <row r="23" spans="1:12" ht="12.75" customHeight="1" x14ac:dyDescent="0.25">
      <c r="A23" s="222"/>
      <c r="B23" s="223"/>
      <c r="C23" s="211"/>
      <c r="D23" s="212"/>
      <c r="E23" s="212"/>
      <c r="F23" s="212"/>
      <c r="G23" s="212"/>
      <c r="H23" s="212"/>
      <c r="I23" s="29">
        <f t="shared" si="0"/>
        <v>0</v>
      </c>
      <c r="J23" s="29">
        <f t="shared" si="1"/>
        <v>0</v>
      </c>
      <c r="K23" s="212"/>
      <c r="L23" s="213"/>
    </row>
    <row r="24" spans="1:12" ht="12.75" customHeight="1" x14ac:dyDescent="0.25">
      <c r="A24" s="227"/>
      <c r="B24" s="228"/>
      <c r="C24" s="229"/>
      <c r="D24" s="230"/>
      <c r="E24" s="230"/>
      <c r="F24" s="230"/>
      <c r="G24" s="230"/>
      <c r="H24" s="230"/>
      <c r="I24" s="67">
        <f t="shared" si="0"/>
        <v>0</v>
      </c>
      <c r="J24" s="67">
        <f t="shared" si="1"/>
        <v>0</v>
      </c>
      <c r="K24" s="230"/>
      <c r="L24" s="233"/>
    </row>
    <row r="25" spans="1:12" ht="12.75" customHeight="1" x14ac:dyDescent="0.25">
      <c r="A25" s="37" t="s">
        <v>170</v>
      </c>
      <c r="B25" s="78"/>
      <c r="C25" s="147"/>
      <c r="D25" s="147"/>
      <c r="E25" s="147"/>
      <c r="F25" s="79"/>
      <c r="G25" s="79"/>
      <c r="H25" s="79"/>
      <c r="I25" s="79"/>
      <c r="J25" s="79"/>
      <c r="K25" s="79"/>
      <c r="L25" s="79"/>
    </row>
    <row r="26" spans="1:12" ht="12.75" customHeight="1" x14ac:dyDescent="0.25">
      <c r="A26" s="156" t="s">
        <v>425</v>
      </c>
      <c r="B26" s="78"/>
      <c r="C26" s="147"/>
      <c r="D26" s="147"/>
      <c r="E26" s="147"/>
      <c r="F26" s="79"/>
      <c r="G26" s="79"/>
      <c r="H26" s="79"/>
      <c r="I26" s="79"/>
      <c r="J26" s="79"/>
      <c r="K26" s="79"/>
      <c r="L26" s="79"/>
    </row>
    <row r="27" spans="1:12" ht="12.75" customHeight="1" x14ac:dyDescent="0.25">
      <c r="A27" s="156" t="s">
        <v>109</v>
      </c>
      <c r="B27" s="78"/>
      <c r="C27" s="147"/>
      <c r="D27" s="147"/>
      <c r="E27" s="147"/>
      <c r="F27" s="79"/>
      <c r="G27" s="79"/>
      <c r="H27" s="79"/>
      <c r="I27" s="79"/>
      <c r="J27" s="79"/>
      <c r="K27" s="79"/>
      <c r="L27" s="79"/>
    </row>
    <row r="28" spans="1:12" ht="12.75" customHeight="1" x14ac:dyDescent="0.25">
      <c r="A28" s="156" t="s">
        <v>110</v>
      </c>
      <c r="B28" s="78"/>
      <c r="C28" s="147"/>
      <c r="D28" s="147"/>
      <c r="E28" s="147"/>
      <c r="F28" s="79"/>
      <c r="G28" s="79"/>
      <c r="H28" s="79"/>
      <c r="I28" s="79"/>
      <c r="J28" s="79"/>
      <c r="K28" s="79"/>
      <c r="L28" s="79"/>
    </row>
    <row r="29" spans="1:12" ht="12.75" customHeight="1" x14ac:dyDescent="0.25">
      <c r="A29" s="156" t="s">
        <v>111</v>
      </c>
      <c r="B29" s="78"/>
      <c r="C29" s="147"/>
      <c r="D29" s="147"/>
      <c r="E29" s="147"/>
      <c r="F29" s="79"/>
      <c r="G29" s="79"/>
      <c r="H29" s="79"/>
      <c r="I29" s="79"/>
      <c r="J29" s="79"/>
      <c r="K29" s="79"/>
      <c r="L29" s="79"/>
    </row>
    <row r="30" spans="1:12" ht="12.75" customHeight="1" x14ac:dyDescent="0.25">
      <c r="A30" s="156" t="s">
        <v>228</v>
      </c>
      <c r="B30" s="78"/>
      <c r="C30" s="147"/>
      <c r="D30" s="147"/>
      <c r="E30" s="147"/>
      <c r="F30" s="79"/>
      <c r="G30" s="79"/>
      <c r="H30" s="79"/>
      <c r="I30" s="79"/>
      <c r="J30" s="79"/>
      <c r="K30" s="79"/>
      <c r="L30" s="79"/>
    </row>
    <row r="31" spans="1:12" ht="12.75" customHeight="1" x14ac:dyDescent="0.25">
      <c r="A31" s="156" t="s">
        <v>226</v>
      </c>
      <c r="B31" s="78"/>
      <c r="C31" s="147"/>
      <c r="D31" s="147"/>
      <c r="E31" s="147"/>
      <c r="F31" s="79"/>
      <c r="G31" s="79"/>
      <c r="H31" s="79"/>
      <c r="I31" s="79"/>
      <c r="J31" s="79"/>
      <c r="K31" s="79"/>
      <c r="L31" s="79"/>
    </row>
    <row r="32" spans="1:12" ht="12.75" customHeight="1" x14ac:dyDescent="0.25">
      <c r="A32" s="156" t="s">
        <v>227</v>
      </c>
      <c r="B32" s="78"/>
      <c r="C32" s="147"/>
      <c r="D32" s="147"/>
      <c r="E32" s="147"/>
      <c r="F32" s="79"/>
      <c r="G32" s="79"/>
      <c r="H32" s="79"/>
      <c r="I32" s="79"/>
      <c r="J32" s="79"/>
      <c r="K32" s="79"/>
      <c r="L32" s="79"/>
    </row>
    <row r="33" spans="1:12" ht="12.75" customHeight="1" x14ac:dyDescent="0.25">
      <c r="A33" s="53" t="s">
        <v>229</v>
      </c>
      <c r="B33" s="78"/>
      <c r="C33" s="147"/>
      <c r="D33" s="147"/>
      <c r="E33" s="147"/>
      <c r="F33" s="79"/>
      <c r="G33" s="79"/>
      <c r="H33" s="79"/>
      <c r="I33" s="79"/>
      <c r="J33" s="79"/>
      <c r="K33" s="79"/>
      <c r="L33" s="79"/>
    </row>
    <row r="34" spans="1:12" ht="12.75" customHeight="1" x14ac:dyDescent="0.25">
      <c r="A34" s="53" t="s">
        <v>230</v>
      </c>
      <c r="B34" s="73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x14ac:dyDescent="0.25">
      <c r="A35" s="96"/>
      <c r="B35" s="96"/>
    </row>
  </sheetData>
  <sheetProtection sheet="1" objects="1" scenarios="1"/>
  <mergeCells count="3">
    <mergeCell ref="A2:A5"/>
    <mergeCell ref="B2:B5"/>
    <mergeCell ref="C2:J2"/>
  </mergeCells>
  <phoneticPr fontId="2" type="noConversion"/>
  <printOptions horizontalCentered="1"/>
  <pageMargins left="0.36" right="0.17" top="0.78" bottom="0.6" header="0.51181102362204722" footer="0.41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1">
    <tabColor rgb="FFC4FCDF"/>
    <pageSetUpPr fitToPage="1"/>
  </sheetPr>
  <dimension ref="A1:G101"/>
  <sheetViews>
    <sheetView showGridLines="0" topLeftCell="A31" workbookViewId="0">
      <selection activeCell="K41" sqref="K41"/>
    </sheetView>
  </sheetViews>
  <sheetFormatPr defaultRowHeight="21.75" customHeight="1" x14ac:dyDescent="0.25"/>
  <cols>
    <col min="1" max="2" width="25.7109375" style="20" customWidth="1"/>
    <col min="3" max="3" width="3.140625" style="20" customWidth="1"/>
    <col min="4" max="4" width="8.7109375" style="20" customWidth="1"/>
    <col min="5" max="16384" width="9.140625" style="20"/>
  </cols>
  <sheetData>
    <row r="1" spans="1:7" ht="12.75" customHeight="1" x14ac:dyDescent="0.25">
      <c r="A1" s="19" t="str">
        <f>MEAB6&amp;" - "&amp;Date</f>
        <v>Greater Tzaneen Development Agency - Supporting Table SE2   Adjustments Budget  - financial and non-financial indicators - 29/02/2016</v>
      </c>
      <c r="B1" s="47"/>
      <c r="C1" s="47"/>
    </row>
    <row r="2" spans="1:7" ht="25.5" x14ac:dyDescent="0.25">
      <c r="A2" s="440" t="s">
        <v>90</v>
      </c>
      <c r="B2" s="438" t="s">
        <v>269</v>
      </c>
      <c r="C2" s="447" t="str">
        <f>head27</f>
        <v>Ref</v>
      </c>
      <c r="D2" s="437" t="str">
        <f>Head9</f>
        <v>Budget Year 2015/16</v>
      </c>
      <c r="E2" s="434"/>
      <c r="F2" s="21" t="str">
        <f>Head10</f>
        <v>Budget Year +1 2016/17</v>
      </c>
      <c r="G2" s="83" t="str">
        <f>Head11</f>
        <v>Budget Year +2 2017/18</v>
      </c>
    </row>
    <row r="3" spans="1:7" ht="25.5" x14ac:dyDescent="0.25">
      <c r="A3" s="445"/>
      <c r="B3" s="446"/>
      <c r="C3" s="448"/>
      <c r="D3" s="180" t="str">
        <f>Head6</f>
        <v>Original Budget</v>
      </c>
      <c r="E3" s="181" t="str">
        <f>Head7</f>
        <v>Adjusted Budget</v>
      </c>
      <c r="F3" s="181" t="str">
        <f>Head7</f>
        <v>Adjusted Budget</v>
      </c>
      <c r="G3" s="182" t="str">
        <f>Head7</f>
        <v>Adjusted Budget</v>
      </c>
    </row>
    <row r="4" spans="1:7" ht="12.75" customHeight="1" x14ac:dyDescent="0.25">
      <c r="A4" s="76" t="s">
        <v>70</v>
      </c>
      <c r="B4" s="97"/>
      <c r="C4" s="268"/>
      <c r="D4" s="398"/>
      <c r="E4" s="399"/>
      <c r="F4" s="399"/>
      <c r="G4" s="400"/>
    </row>
    <row r="5" spans="1:7" ht="12.75" customHeight="1" x14ac:dyDescent="0.25">
      <c r="A5" s="75" t="s">
        <v>305</v>
      </c>
      <c r="B5" s="97" t="s">
        <v>297</v>
      </c>
      <c r="C5" s="78"/>
      <c r="D5" s="30">
        <f>IF(ISERROR('E4-FinPos'!C38/'E4-FinPos'!C26),0,('E4-FinPos'!C38/'E4-FinPos'!C26))</f>
        <v>0</v>
      </c>
      <c r="E5" s="29">
        <f>IF(ISERROR('E4-FinPos'!J38/'E4-FinPos'!J26),0,('E4-FinPos'!J38/'E4-FinPos'!J26))</f>
        <v>0</v>
      </c>
      <c r="F5" s="29">
        <f>IF(ISERROR('E4-FinPos'!K38/'E4-FinPos'!K26),0,('E4-FinPos'!K38/'E4-FinPos'!K26))</f>
        <v>0</v>
      </c>
      <c r="G5" s="85">
        <f>IF(ISERROR('E4-FinPos'!L38/'E4-FinPos'!L26),0,('E4-FinPos'!L38/'E4-FinPos'!L26))</f>
        <v>0</v>
      </c>
    </row>
    <row r="6" spans="1:7" ht="25.5" x14ac:dyDescent="0.25">
      <c r="A6" s="75" t="s">
        <v>306</v>
      </c>
      <c r="B6" s="97" t="s">
        <v>380</v>
      </c>
      <c r="C6" s="78"/>
      <c r="D6" s="30">
        <f>IF(ISERROR(('E2-FinPerf'!C30+'E2-FinPerf'!C31)/'E2-FinPerf'!C38),0,(('E2-FinPerf'!C30+'E2-FinPerf'!C31)/'E2-FinPerf'!C38))</f>
        <v>1.1276827937431792E-2</v>
      </c>
      <c r="E6" s="29">
        <f>IF(ISERROR(('E2-FinPerf'!J30+'E2-FinPerf'!J31)/'E2-FinPerf'!J38),0,(('E2-FinPerf'!J30+'E2-FinPerf'!J31)/'E2-FinPerf'!J38))</f>
        <v>0</v>
      </c>
      <c r="F6" s="29">
        <f>IF(ISERROR(('E2-FinPerf'!K30+'E2-FinPerf'!K31)/'E2-FinPerf'!K38),0,(('E2-FinPerf'!K30+'E2-FinPerf'!K31)/'E2-FinPerf'!K38))</f>
        <v>1.5372428284374949E-2</v>
      </c>
      <c r="G6" s="85">
        <f>IF(ISERROR(('E2-FinPerf'!L30+'E2-FinPerf'!L31)/'E2-FinPerf'!L38),0,(('E2-FinPerf'!L30+'E2-FinPerf'!L31)/'E2-FinPerf'!L38))</f>
        <v>1.4891228135413775E-2</v>
      </c>
    </row>
    <row r="7" spans="1:7" ht="25.5" x14ac:dyDescent="0.25">
      <c r="A7" s="75" t="s">
        <v>189</v>
      </c>
      <c r="B7" s="97" t="s">
        <v>896</v>
      </c>
      <c r="C7" s="78"/>
      <c r="D7" s="30">
        <f>IF(ISERROR(('E3-Capex'!C41-'E3-Capex'!#REF!)/('E3-Capex'!C32-'E3-Capex'!C40)),0,(('E3-Capex'!C41-'E3-Capex'!#REF!)/('E3-Capex'!C32-'E3-Capex'!C40)))</f>
        <v>0</v>
      </c>
      <c r="E7" s="29">
        <f>IF(ISERROR(('E3-Capex'!J41-'E3-Capex'!#REF!)/('E3-Capex'!J32-'E3-Capex'!J40)),0,(('E3-Capex'!J41-'E3-Capex'!#REF!)/('E3-Capex'!J32-'E3-Capex'!J40)))</f>
        <v>0</v>
      </c>
      <c r="F7" s="29">
        <f>IF(ISERROR(('E3-Capex'!K41-'E3-Capex'!#REF!)/('E3-Capex'!K32-'E3-Capex'!K40)),0,(('E3-Capex'!K41-'E3-Capex'!#REF!)/('E3-Capex'!K32-'E3-Capex'!K40)))</f>
        <v>0</v>
      </c>
      <c r="G7" s="85">
        <f>IF(ISERROR(('E3-Capex'!L41-'E3-Capex'!#REF!)/('E3-Capex'!L32-'E3-Capex'!L40)),0,(('E3-Capex'!L41-'E3-Capex'!#REF!)/('E3-Capex'!L32-'E3-Capex'!L40)))</f>
        <v>0</v>
      </c>
    </row>
    <row r="8" spans="1:7" ht="12.75" customHeight="1" x14ac:dyDescent="0.25">
      <c r="A8" s="76" t="s">
        <v>244</v>
      </c>
      <c r="B8" s="97"/>
      <c r="C8" s="78"/>
      <c r="D8" s="30"/>
      <c r="E8" s="29"/>
      <c r="F8" s="29"/>
      <c r="G8" s="85"/>
    </row>
    <row r="9" spans="1:7" ht="25.5" x14ac:dyDescent="0.25">
      <c r="A9" s="75" t="s">
        <v>431</v>
      </c>
      <c r="B9" s="97" t="s">
        <v>416</v>
      </c>
      <c r="C9" s="78"/>
      <c r="D9" s="30">
        <f>IF(ISERROR('E4-FinPos'!C41/'E4-FinPos'!C48),0,('E4-FinPos'!C41/'E4-FinPos'!C48))</f>
        <v>-1.3052676809993033</v>
      </c>
      <c r="E9" s="29">
        <f>IF(ISERROR('E4-FinPos'!J41/'E4-FinPos'!J48),0,('E4-FinPos'!J41/'E4-FinPos'!J48))</f>
        <v>-1.3051552924988956</v>
      </c>
      <c r="F9" s="29">
        <f>IF(ISERROR('E4-FinPos'!K41/'E4-FinPos'!K48),0,('E4-FinPos'!K41/'E4-FinPos'!K48))</f>
        <v>0</v>
      </c>
      <c r="G9" s="85">
        <f>IF(ISERROR('E4-FinPos'!L41/'E4-FinPos'!L48),0,('E4-FinPos'!L41/'E4-FinPos'!L48))</f>
        <v>0</v>
      </c>
    </row>
    <row r="10" spans="1:7" ht="12.75" customHeight="1" x14ac:dyDescent="0.25">
      <c r="A10" s="75" t="s">
        <v>243</v>
      </c>
      <c r="B10" s="97" t="s">
        <v>240</v>
      </c>
      <c r="C10" s="78"/>
      <c r="D10" s="30">
        <f>IF(ISERROR('E4-FinPos'!C38/'E4-FinPos'!C48),0,('E4-FinPos'!C38/'E4-FinPos'!C48))</f>
        <v>0</v>
      </c>
      <c r="E10" s="29">
        <f>IF(ISERROR('E4-FinPos'!J38/'E4-FinPos'!J48),0,('E4-FinPos'!J38/'E4-FinPos'!J48))</f>
        <v>0</v>
      </c>
      <c r="F10" s="29">
        <f>IF(ISERROR(0/('E4-FinPos'!K38/'E4-FinPos'!K48)),0,(0/('E4-FinPos'!K38/'E4-FinPos'!K48)))</f>
        <v>0</v>
      </c>
      <c r="G10" s="85">
        <f>IF(ISERROR(0/('E4-FinPos'!L38/'E4-FinPos'!L48)),0,(0/('E4-FinPos'!L38/'E4-FinPos'!L48)))</f>
        <v>0</v>
      </c>
    </row>
    <row r="11" spans="1:7" ht="12.75" customHeight="1" x14ac:dyDescent="0.25">
      <c r="A11" s="76" t="s">
        <v>245</v>
      </c>
      <c r="B11" s="97"/>
      <c r="C11" s="78"/>
      <c r="D11" s="30"/>
      <c r="E11" s="29"/>
      <c r="F11" s="29"/>
      <c r="G11" s="85"/>
    </row>
    <row r="12" spans="1:7" ht="12.75" customHeight="1" x14ac:dyDescent="0.25">
      <c r="A12" s="75" t="s">
        <v>307</v>
      </c>
      <c r="B12" s="97" t="s">
        <v>78</v>
      </c>
      <c r="C12" s="78"/>
      <c r="D12" s="30">
        <f>IF(ISERROR('E4-FinPos'!C14/'E4-FinPos'!C35),0,('E4-FinPos'!C14/'E4-FinPos'!C35))</f>
        <v>0.14024936122544437</v>
      </c>
      <c r="E12" s="29">
        <f>IF(ISERROR('E4-FinPos'!J14/'E4-FinPos'!J35),0,('E4-FinPos'!J14/'E4-FinPos'!J35))</f>
        <v>0.14024936122544437</v>
      </c>
      <c r="F12" s="29">
        <f>IF(ISERROR('E4-FinPos'!K14/'E4-FinPos'!K35),0,('E4-FinPos'!K14/'E4-FinPos'!K35))</f>
        <v>0</v>
      </c>
      <c r="G12" s="85">
        <f>IF(ISERROR('E4-FinPos'!L14/'E4-FinPos'!L35),0,('E4-FinPos'!L14/'E4-FinPos'!L35))</f>
        <v>0</v>
      </c>
    </row>
    <row r="13" spans="1:7" ht="25.5" x14ac:dyDescent="0.25">
      <c r="A13" s="75" t="s">
        <v>160</v>
      </c>
      <c r="B13" s="97" t="s">
        <v>159</v>
      </c>
      <c r="C13" s="78"/>
      <c r="D13" s="30">
        <f>IF(ISERROR(('E4-FinPos'!C14-'SE2'!D38)/'E4-FinPos'!C35),0,(('E4-FinPos'!C14-'SE2'!D38)/'E4-FinPos'!C35))</f>
        <v>0.14024936122544437</v>
      </c>
      <c r="E13" s="29">
        <f>IF(ISERROR(('E4-FinPos'!J14-'SE2'!E38)/'E4-FinPos'!J35),0,(('E4-FinPos'!J14-'SE2'!E38)/'E4-FinPos'!J35))</f>
        <v>0.14024936122544437</v>
      </c>
      <c r="F13" s="29">
        <f>IF(ISERROR(('E4-FinPos'!E14-'SE2'!F38)/'E4-FinPos'!E35),0,(('E4-FinPos'!E14-'SE2'!F38)/'E4-FinPos'!E35))</f>
        <v>0</v>
      </c>
      <c r="G13" s="85">
        <f>IF(ISERROR(('E4-FinPos'!F14-'SE2'!G38)/'E4-FinPos'!F35),0,(('E4-FinPos'!F14-'SE2'!G38)/'E4-FinPos'!F35))</f>
        <v>0</v>
      </c>
    </row>
    <row r="14" spans="1:7" ht="12.75" customHeight="1" x14ac:dyDescent="0.25">
      <c r="A14" s="75" t="s">
        <v>246</v>
      </c>
      <c r="B14" s="97" t="s">
        <v>4</v>
      </c>
      <c r="C14" s="78"/>
      <c r="D14" s="30">
        <f>IF(ISERROR(('E4-FinPos'!C8+'E4-FinPos'!C9)/'E4-FinPos'!C35),0,(('E4-FinPos'!C8+'E4-FinPos'!C9)/'E4-FinPos'!C35))</f>
        <v>0.13801554697772056</v>
      </c>
      <c r="E14" s="29">
        <f>IF(ISERROR(('E4-FinPos'!J8+'E4-FinPos'!J9)/'E4-FinPos'!J35),0,(('E4-FinPos'!J8+'E4-FinPos'!J9)/'E4-FinPos'!J35))</f>
        <v>0.13801554697772056</v>
      </c>
      <c r="F14" s="29">
        <f>IF(ISERROR(('E4-FinPos'!K8+'E4-FinPos'!K9)/'E4-FinPos'!K35),0,(('E4-FinPos'!K8+'E4-FinPos'!K9)/'E4-FinPos'!K35))</f>
        <v>0</v>
      </c>
      <c r="G14" s="85">
        <f>IF(ISERROR(('E4-FinPos'!L8+'E4-FinPos'!L9)/'E4-FinPos'!L35),0,(('E4-FinPos'!L8+'E4-FinPos'!L9)/'E4-FinPos'!L35))</f>
        <v>0</v>
      </c>
    </row>
    <row r="15" spans="1:7" ht="12.75" customHeight="1" x14ac:dyDescent="0.25">
      <c r="A15" s="76" t="s">
        <v>5</v>
      </c>
      <c r="B15" s="97"/>
      <c r="C15" s="78"/>
      <c r="D15" s="30"/>
      <c r="E15" s="91"/>
      <c r="F15" s="91"/>
      <c r="G15" s="123"/>
    </row>
    <row r="16" spans="1:7" ht="25.5" x14ac:dyDescent="0.25">
      <c r="A16" s="75" t="s">
        <v>29</v>
      </c>
      <c r="B16" s="97" t="s">
        <v>30</v>
      </c>
      <c r="C16" s="78"/>
      <c r="D16" s="30">
        <f>IF(ISERROR(D39/D40),0,(D39/D40))</f>
        <v>0</v>
      </c>
      <c r="E16" s="29">
        <f>IF(ISERROR(E39/E40),0,(E39/E40))</f>
        <v>0</v>
      </c>
      <c r="F16" s="29">
        <f>IF(ISERROR(F39/F40),0,(F39/F40))</f>
        <v>0</v>
      </c>
      <c r="G16" s="85">
        <f>IF(ISERROR(G39/G40),0,(G39/G40))</f>
        <v>0</v>
      </c>
    </row>
    <row r="17" spans="1:7" ht="25.5" x14ac:dyDescent="0.25">
      <c r="A17" s="75" t="s">
        <v>31</v>
      </c>
      <c r="B17" s="97" t="s">
        <v>158</v>
      </c>
      <c r="C17" s="78"/>
      <c r="D17" s="30">
        <f>IF(ISERROR(('E4-FinPos'!C10+'E4-FinPos'!C11+'E4-FinPos'!C12+'E4-FinPos'!C17)/'E2-FinPerf'!C24),0,(('E4-FinPos'!C10+'E4-FinPos'!C11+'E4-FinPos'!C12+'E4-FinPos'!C17)/'E2-FinPerf'!C24))</f>
        <v>6.1563636363636367E-4</v>
      </c>
      <c r="E17" s="29">
        <f>IF(ISERROR(('E4-FinPos'!J10+'E4-FinPos'!J11+'E4-FinPos'!J12+'E4-FinPos'!J17)/'E2-FinPerf'!J24),0,(('E4-FinPos'!J10+'E4-FinPos'!J11+'E4-FinPos'!J12+'E4-FinPos'!J17)/'E2-FinPerf'!J24))</f>
        <v>5.3382496941857701E-4</v>
      </c>
      <c r="F17" s="29">
        <f>IF(ISERROR(('E4-FinPos'!K10+'E4-FinPos'!K11+'E4-FinPos'!K12+'E4-FinPos'!K17)/'E2-FinPerf'!K24),0,(('E4-FinPos'!K10+'E4-FinPos'!K11+'E4-FinPos'!K12+'E4-FinPos'!K17)/'E2-FinPerf'!K24))</f>
        <v>0</v>
      </c>
      <c r="G17" s="85">
        <f>IF(ISERROR(('E4-FinPos'!L10+'E4-FinPos'!L11+'E4-FinPos'!L12+'E4-FinPos'!L17)/'E2-FinPerf'!L24),0,(('E4-FinPos'!L10+'E4-FinPos'!L11+'E4-FinPos'!L12+'E4-FinPos'!L17)/'E2-FinPerf'!L24))</f>
        <v>0</v>
      </c>
    </row>
    <row r="18" spans="1:7" ht="25.5" x14ac:dyDescent="0.25">
      <c r="A18" s="75" t="s">
        <v>432</v>
      </c>
      <c r="B18" s="97" t="s">
        <v>433</v>
      </c>
      <c r="C18" s="78"/>
      <c r="D18" s="30">
        <f>IF(ISERROR(D41/'E4-FinPos'!C17),0,(D41/'E4-FinPos'!C17))</f>
        <v>0</v>
      </c>
      <c r="E18" s="29">
        <f>IF(ISERROR(E41/'E4-FinPos'!J17),0,(E41/'E4-FinPos'!J17))</f>
        <v>0</v>
      </c>
      <c r="F18" s="29">
        <f>IF(ISERROR(F41/'E4-FinPos'!K17),0,(F41/'E4-FinPos'!K17))</f>
        <v>0</v>
      </c>
      <c r="G18" s="85">
        <f>IF(ISERROR(G41/'E4-FinPos'!L17),0,(G41/'E4-FinPos'!L17))</f>
        <v>0</v>
      </c>
    </row>
    <row r="19" spans="1:7" ht="12.75" customHeight="1" x14ac:dyDescent="0.25">
      <c r="A19" s="76" t="s">
        <v>434</v>
      </c>
      <c r="B19" s="97"/>
      <c r="C19" s="78"/>
      <c r="D19" s="30"/>
      <c r="E19" s="91"/>
      <c r="F19" s="91"/>
      <c r="G19" s="123"/>
    </row>
    <row r="20" spans="1:7" ht="25.5" x14ac:dyDescent="0.25">
      <c r="A20" s="75" t="s">
        <v>435</v>
      </c>
      <c r="B20" s="97" t="s">
        <v>298</v>
      </c>
      <c r="C20" s="78"/>
      <c r="D20" s="211"/>
      <c r="E20" s="234"/>
      <c r="F20" s="234"/>
      <c r="G20" s="235"/>
    </row>
    <row r="21" spans="1:7" ht="12.75" customHeight="1" x14ac:dyDescent="0.25">
      <c r="A21" s="76" t="s">
        <v>66</v>
      </c>
      <c r="B21" s="97"/>
      <c r="C21" s="78"/>
      <c r="D21" s="30"/>
      <c r="E21" s="91"/>
      <c r="F21" s="91"/>
      <c r="G21" s="123"/>
    </row>
    <row r="22" spans="1:7" ht="12.75" customHeight="1" x14ac:dyDescent="0.25">
      <c r="A22" s="75" t="s">
        <v>67</v>
      </c>
      <c r="B22" s="97" t="s">
        <v>68</v>
      </c>
      <c r="C22" s="78"/>
      <c r="D22" s="211"/>
      <c r="E22" s="234"/>
      <c r="F22" s="234"/>
      <c r="G22" s="235"/>
    </row>
    <row r="23" spans="1:7" ht="12.75" customHeight="1" x14ac:dyDescent="0.25">
      <c r="A23" s="76" t="s">
        <v>69</v>
      </c>
      <c r="B23" s="97"/>
      <c r="C23" s="78"/>
      <c r="D23" s="30"/>
      <c r="E23" s="91"/>
      <c r="F23" s="91"/>
      <c r="G23" s="123"/>
    </row>
    <row r="24" spans="1:7" ht="38.25" x14ac:dyDescent="0.25">
      <c r="A24" s="310" t="s">
        <v>61</v>
      </c>
      <c r="B24" s="97" t="s">
        <v>897</v>
      </c>
      <c r="C24" s="311">
        <v>1</v>
      </c>
      <c r="D24" s="211"/>
      <c r="E24" s="234"/>
      <c r="F24" s="234"/>
      <c r="G24" s="235"/>
    </row>
    <row r="25" spans="1:7" ht="38.25" x14ac:dyDescent="0.25">
      <c r="A25" s="310" t="s">
        <v>60</v>
      </c>
      <c r="B25" s="97" t="s">
        <v>898</v>
      </c>
      <c r="C25" s="311">
        <v>2</v>
      </c>
      <c r="D25" s="211"/>
      <c r="E25" s="234"/>
      <c r="F25" s="234"/>
      <c r="G25" s="235"/>
    </row>
    <row r="26" spans="1:7" ht="25.5" x14ac:dyDescent="0.25">
      <c r="A26" s="75" t="s">
        <v>33</v>
      </c>
      <c r="B26" s="97" t="s">
        <v>259</v>
      </c>
      <c r="C26" s="78"/>
      <c r="D26" s="30">
        <f>IF(ISERROR('E2-FinPerf'!C27/'E2-FinPerf'!C24),0,('E2-FinPerf'!C27/'E2-FinPerf'!C24))</f>
        <v>0.6472671763636364</v>
      </c>
      <c r="E26" s="29">
        <f>IF(ISERROR('E2-FinPerf'!J27/'E2-FinPerf'!J24),0,('E2-FinPerf'!J27/'E2-FinPerf'!J24))</f>
        <v>0.56125239026988116</v>
      </c>
      <c r="F26" s="29">
        <f>IF(ISERROR('E2-FinPerf'!K27/'E2-FinPerf'!K24),0,('E2-FinPerf'!K27/'E2-FinPerf'!K24))</f>
        <v>0.48231738409090913</v>
      </c>
      <c r="G26" s="85">
        <f>IF(ISERROR('E2-FinPerf'!L27/'E2-FinPerf'!L24),0,('E2-FinPerf'!L27/'E2-FinPerf'!L24))</f>
        <v>0.51583991549295771</v>
      </c>
    </row>
    <row r="27" spans="1:7" ht="12.75" customHeight="1" x14ac:dyDescent="0.25">
      <c r="A27" s="75" t="s">
        <v>257</v>
      </c>
      <c r="B27" s="97" t="s">
        <v>260</v>
      </c>
      <c r="C27" s="78"/>
      <c r="D27" s="30">
        <f>IF(ISERROR('E2-FinPerf'!C50/'E2-FinPerf'!C24),0,('E2-FinPerf'!C50/'E2-FinPerf'!C24))</f>
        <v>0</v>
      </c>
      <c r="E27" s="29">
        <f>IF(ISERROR('E2-FinPerf'!J50/'E2-FinPerf'!J24),0,('E2-FinPerf'!J50/'E2-FinPerf'!J24))</f>
        <v>0</v>
      </c>
      <c r="F27" s="29">
        <f>IF(ISERROR('E2-FinPerf'!K50/'E2-FinPerf'!K24),0,('E2-FinPerf'!K50/'E2-FinPerf'!K24))</f>
        <v>0</v>
      </c>
      <c r="G27" s="85">
        <f>IF(ISERROR('E2-FinPerf'!L50/'E2-FinPerf'!L24),0,('E2-FinPerf'!L50/'E2-FinPerf'!L24))</f>
        <v>0</v>
      </c>
    </row>
    <row r="28" spans="1:7" ht="12.75" customHeight="1" x14ac:dyDescent="0.25">
      <c r="A28" s="75" t="s">
        <v>258</v>
      </c>
      <c r="B28" s="97" t="s">
        <v>247</v>
      </c>
      <c r="C28" s="78"/>
      <c r="D28" s="30">
        <f>IF(ISERROR(('E2-FinPerf'!C30+'E2-FinPerf'!C31)/'E2-FinPerf'!C24),0,(('E2-FinPerf'!C30+'E2-FinPerf'!C31)/'E2-FinPerf'!C24))</f>
        <v>1.1272727272727273E-2</v>
      </c>
      <c r="E28" s="29">
        <f>IF(ISERROR(('E2-FinPerf'!J30+'E2-FinPerf'!J31)/'E2-FinPerf'!J24),0,(('E2-FinPerf'!J30+'E2-FinPerf'!J31)/'E2-FinPerf'!J24))</f>
        <v>9.7747041063058985E-3</v>
      </c>
      <c r="F28" s="29">
        <f>IF(ISERROR(('E2-FinPerf'!K30+'E2-FinPerf'!K31)/'E2-FinPerf'!K24),0,(('E2-FinPerf'!K30+'E2-FinPerf'!K31)/'E2-FinPerf'!K24))</f>
        <v>1.4962436363636363E-2</v>
      </c>
      <c r="G28" s="85">
        <f>IF(ISERROR(('E2-FinPerf'!L30+'E2-FinPerf'!L31)/'E2-FinPerf'!L24),0,(('E2-FinPerf'!L30+'E2-FinPerf'!L31)/'E2-FinPerf'!L24))</f>
        <v>1.4883680080482898E-2</v>
      </c>
    </row>
    <row r="29" spans="1:7" ht="12.75" customHeight="1" x14ac:dyDescent="0.25">
      <c r="A29" s="77" t="s">
        <v>308</v>
      </c>
      <c r="B29" s="329"/>
      <c r="C29" s="164"/>
      <c r="D29" s="30"/>
      <c r="E29" s="29"/>
      <c r="F29" s="29"/>
      <c r="G29" s="85"/>
    </row>
    <row r="30" spans="1:7" ht="38.25" x14ac:dyDescent="0.25">
      <c r="A30" s="75" t="s">
        <v>176</v>
      </c>
      <c r="B30" s="97" t="s">
        <v>286</v>
      </c>
      <c r="C30" s="78"/>
      <c r="D30" s="30">
        <f>IF(ISERROR('E2-FinPerf'!C24/'SE2'!D42),0,('E2-FinPerf'!C24/'SE2'!D42))</f>
        <v>0</v>
      </c>
      <c r="E30" s="29">
        <f>IF(ISERROR('E2-FinPerf'!J24/'SE2'!E42),0,('E2-FinPerf'!J24/'SE2'!E42))</f>
        <v>0</v>
      </c>
      <c r="F30" s="29">
        <f>IF(ISERROR('E2-FinPerf'!K24/'SE2'!F42),0,('E2-FinPerf'!K24/'SE2'!F42))</f>
        <v>0</v>
      </c>
      <c r="G30" s="85">
        <f>IF(ISERROR('E2-FinPerf'!L24/'SE2'!G42),0,('E2-FinPerf'!L24/'SE2'!G42))</f>
        <v>0</v>
      </c>
    </row>
    <row r="31" spans="1:7" ht="25.5" x14ac:dyDescent="0.25">
      <c r="A31" s="75" t="s">
        <v>299</v>
      </c>
      <c r="B31" s="97" t="s">
        <v>50</v>
      </c>
      <c r="C31" s="78"/>
      <c r="D31" s="30">
        <f>IF(ISERROR(('E4-FinPos'!C10+'E4-FinPos'!C12+'E4-FinPos'!C17)/'SE2'!D43),0,(('E4-FinPos'!C10+'E4-FinPos'!C12+'E4-FinPos'!C17)/'SE2'!D43))</f>
        <v>0</v>
      </c>
      <c r="E31" s="29">
        <f>IF(ISERROR(('E4-FinPos'!J10+'E4-FinPos'!J12+'E4-FinPos'!J17)/'SE2'!E43),0,(('E4-FinPos'!J10+'E4-FinPos'!J12+'E4-FinPos'!J17)/'SE2'!E43))</f>
        <v>0</v>
      </c>
      <c r="F31" s="29">
        <f>IF(ISERROR(('E4-FinPos'!K10+'E4-FinPos'!K12+'E4-FinPos'!K17)/'SE2'!F43),0,(('E4-FinPos'!K10+'E4-FinPos'!K12+'E4-FinPos'!K17)/'SE2'!F43))</f>
        <v>0</v>
      </c>
      <c r="G31" s="85">
        <f>IF(ISERROR(('E4-FinPos'!L10+'E4-FinPos'!L12+'E4-FinPos'!L17)/'SE2'!G43),0,(('E4-FinPos'!L10+'E4-FinPos'!L12+'E4-FinPos'!L17)/'SE2'!G43))</f>
        <v>0</v>
      </c>
    </row>
    <row r="32" spans="1:7" ht="25.5" x14ac:dyDescent="0.25">
      <c r="A32" s="122" t="s">
        <v>177</v>
      </c>
      <c r="B32" s="99" t="s">
        <v>15</v>
      </c>
      <c r="C32" s="160"/>
      <c r="D32" s="68">
        <f>IF(ISERROR('E5-CFlow'!C43/'SE2'!D44),0,('E5-CFlow'!C43/'SE2'!D44))</f>
        <v>0</v>
      </c>
      <c r="E32" s="67">
        <f>IF(ISERROR('E5-CFlow'!J43/'SE2'!E44),0,('E5-CFlow'!J43/'SE2'!E44))</f>
        <v>0</v>
      </c>
      <c r="F32" s="67">
        <f>IF(ISERROR('E5-CFlow'!K43/'SE2'!F44),0,('E5-CFlow'!K43/'SE2'!F44))</f>
        <v>0</v>
      </c>
      <c r="G32" s="102">
        <f>IF(ISERROR('E5-CFlow'!L43/'SE2'!G44),0,('E5-CFlow'!L43/'SE2'!G44))</f>
        <v>0</v>
      </c>
    </row>
    <row r="33" spans="1:7" ht="12.75" customHeight="1" x14ac:dyDescent="0.25">
      <c r="A33" s="37" t="s">
        <v>170</v>
      </c>
      <c r="B33" s="46"/>
      <c r="C33" s="46"/>
      <c r="D33" s="46"/>
    </row>
    <row r="34" spans="1:7" ht="12.75" customHeight="1" x14ac:dyDescent="0.25">
      <c r="A34" s="53" t="s">
        <v>279</v>
      </c>
      <c r="B34" s="46"/>
      <c r="C34" s="46"/>
      <c r="D34" s="46"/>
    </row>
    <row r="35" spans="1:7" ht="12.75" customHeight="1" x14ac:dyDescent="0.25">
      <c r="A35" s="53" t="s">
        <v>280</v>
      </c>
      <c r="B35" s="46"/>
      <c r="C35" s="46"/>
      <c r="D35" s="46"/>
    </row>
    <row r="36" spans="1:7" ht="12.75" customHeight="1" x14ac:dyDescent="0.25">
      <c r="A36" s="46"/>
      <c r="B36" s="46"/>
      <c r="C36" s="46"/>
      <c r="D36" s="46"/>
    </row>
    <row r="37" spans="1:7" ht="12.75" customHeight="1" x14ac:dyDescent="0.25">
      <c r="A37" s="73" t="s">
        <v>514</v>
      </c>
      <c r="B37" s="46"/>
      <c r="C37" s="46"/>
      <c r="D37" s="56"/>
    </row>
    <row r="38" spans="1:7" ht="12.75" customHeight="1" x14ac:dyDescent="0.25">
      <c r="A38" s="46" t="s">
        <v>515</v>
      </c>
      <c r="B38" s="46"/>
      <c r="C38" s="46"/>
      <c r="D38" s="401"/>
      <c r="E38" s="402"/>
      <c r="F38" s="402"/>
      <c r="G38" s="403"/>
    </row>
    <row r="39" spans="1:7" ht="12.75" customHeight="1" x14ac:dyDescent="0.25">
      <c r="A39" s="46" t="s">
        <v>516</v>
      </c>
      <c r="B39" s="46"/>
      <c r="C39" s="46"/>
      <c r="D39" s="211"/>
      <c r="E39" s="212"/>
      <c r="F39" s="312">
        <f>'E5-CFlow'!C8</f>
        <v>0</v>
      </c>
      <c r="G39" s="313">
        <f>'E5-CFlow'!K8</f>
        <v>0</v>
      </c>
    </row>
    <row r="40" spans="1:7" ht="12.75" customHeight="1" x14ac:dyDescent="0.25">
      <c r="A40" s="46" t="s">
        <v>517</v>
      </c>
      <c r="B40" s="46"/>
      <c r="C40" s="46"/>
      <c r="D40" s="211"/>
      <c r="E40" s="212"/>
      <c r="F40" s="256"/>
      <c r="G40" s="257"/>
    </row>
    <row r="41" spans="1:7" ht="12.75" customHeight="1" x14ac:dyDescent="0.25">
      <c r="A41" s="46" t="s">
        <v>518</v>
      </c>
      <c r="B41" s="46"/>
      <c r="C41" s="46"/>
      <c r="D41" s="211"/>
      <c r="E41" s="212"/>
      <c r="F41" s="212"/>
      <c r="G41" s="213"/>
    </row>
    <row r="42" spans="1:7" ht="12.75" customHeight="1" x14ac:dyDescent="0.25">
      <c r="A42" s="46" t="s">
        <v>521</v>
      </c>
      <c r="B42" s="46"/>
      <c r="C42" s="46"/>
      <c r="D42" s="211"/>
      <c r="E42" s="212"/>
      <c r="F42" s="212"/>
      <c r="G42" s="213"/>
    </row>
    <row r="43" spans="1:7" ht="12.75" customHeight="1" x14ac:dyDescent="0.25">
      <c r="A43" s="46" t="s">
        <v>522</v>
      </c>
      <c r="B43" s="46"/>
      <c r="C43" s="46"/>
      <c r="D43" s="211"/>
      <c r="E43" s="212"/>
      <c r="F43" s="212"/>
      <c r="G43" s="213"/>
    </row>
    <row r="44" spans="1:7" ht="12.75" customHeight="1" x14ac:dyDescent="0.25">
      <c r="A44" s="46" t="s">
        <v>523</v>
      </c>
      <c r="B44" s="46"/>
      <c r="C44" s="46"/>
      <c r="D44" s="229"/>
      <c r="E44" s="230"/>
      <c r="F44" s="230"/>
      <c r="G44" s="233"/>
    </row>
    <row r="45" spans="1:7" ht="12.75" customHeight="1" x14ac:dyDescent="0.25">
      <c r="A45" s="46"/>
      <c r="B45" s="46"/>
      <c r="C45" s="46"/>
      <c r="D45" s="46"/>
    </row>
    <row r="46" spans="1:7" ht="12.75" customHeight="1" x14ac:dyDescent="0.25">
      <c r="A46" s="46"/>
      <c r="B46" s="46"/>
      <c r="C46" s="46"/>
      <c r="D46" s="70"/>
    </row>
    <row r="47" spans="1:7" ht="12.75" customHeight="1" x14ac:dyDescent="0.25">
      <c r="A47" s="46"/>
      <c r="B47" s="46"/>
      <c r="C47" s="46"/>
      <c r="D47" s="70"/>
    </row>
    <row r="48" spans="1:7" ht="12.75" customHeight="1" x14ac:dyDescent="0.25">
      <c r="A48" s="46"/>
      <c r="B48" s="46"/>
      <c r="C48" s="46"/>
      <c r="D48" s="46"/>
    </row>
    <row r="49" spans="1:4" ht="12.75" customHeight="1" x14ac:dyDescent="0.25">
      <c r="A49" s="46"/>
      <c r="B49" s="46"/>
      <c r="C49" s="46"/>
      <c r="D49" s="46"/>
    </row>
    <row r="50" spans="1:4" ht="12.75" customHeight="1" x14ac:dyDescent="0.25">
      <c r="A50" s="46"/>
      <c r="B50" s="46"/>
      <c r="C50" s="46"/>
      <c r="D50" s="46"/>
    </row>
    <row r="51" spans="1:4" ht="12.75" customHeight="1" x14ac:dyDescent="0.25">
      <c r="A51" s="46"/>
      <c r="B51" s="46"/>
      <c r="C51" s="46"/>
      <c r="D51" s="46"/>
    </row>
    <row r="52" spans="1:4" ht="12.75" customHeight="1" x14ac:dyDescent="0.25">
      <c r="A52" s="46"/>
      <c r="B52" s="46"/>
      <c r="C52" s="46"/>
      <c r="D52" s="46"/>
    </row>
    <row r="53" spans="1:4" ht="12.75" customHeight="1" x14ac:dyDescent="0.25">
      <c r="A53" s="46"/>
      <c r="B53" s="46"/>
      <c r="C53" s="46"/>
      <c r="D53" s="46"/>
    </row>
    <row r="54" spans="1:4" ht="12.75" customHeight="1" x14ac:dyDescent="0.25">
      <c r="A54" s="46"/>
      <c r="B54" s="46"/>
      <c r="C54" s="46"/>
      <c r="D54" s="46"/>
    </row>
    <row r="55" spans="1:4" ht="12.75" customHeight="1" x14ac:dyDescent="0.25">
      <c r="A55" s="46"/>
      <c r="B55" s="46"/>
      <c r="C55" s="46"/>
      <c r="D55" s="46"/>
    </row>
    <row r="56" spans="1:4" ht="12.75" customHeight="1" x14ac:dyDescent="0.25">
      <c r="A56" s="46"/>
      <c r="B56" s="46"/>
      <c r="C56" s="46"/>
      <c r="D56" s="46"/>
    </row>
    <row r="57" spans="1:4" ht="12.75" customHeight="1" x14ac:dyDescent="0.25">
      <c r="A57" s="46"/>
      <c r="B57" s="46"/>
      <c r="C57" s="46"/>
      <c r="D57" s="46"/>
    </row>
    <row r="58" spans="1:4" ht="12.75" customHeight="1" x14ac:dyDescent="0.25">
      <c r="A58" s="46"/>
      <c r="B58" s="46"/>
      <c r="C58" s="46"/>
      <c r="D58" s="46"/>
    </row>
    <row r="59" spans="1:4" ht="12.75" customHeight="1" x14ac:dyDescent="0.25">
      <c r="A59" s="46"/>
      <c r="B59" s="46"/>
      <c r="C59" s="46"/>
      <c r="D59" s="46"/>
    </row>
    <row r="60" spans="1:4" ht="12.75" customHeight="1" x14ac:dyDescent="0.25">
      <c r="A60" s="46"/>
      <c r="B60" s="46"/>
      <c r="C60" s="46"/>
      <c r="D60" s="46"/>
    </row>
    <row r="61" spans="1:4" ht="12.75" customHeight="1" x14ac:dyDescent="0.25">
      <c r="A61" s="46"/>
      <c r="B61" s="46"/>
      <c r="C61" s="46"/>
      <c r="D61" s="46"/>
    </row>
    <row r="62" spans="1:4" ht="12.75" customHeight="1" x14ac:dyDescent="0.25">
      <c r="A62" s="46"/>
      <c r="B62" s="46"/>
      <c r="C62" s="46"/>
      <c r="D62" s="46"/>
    </row>
    <row r="63" spans="1:4" ht="12.75" customHeight="1" x14ac:dyDescent="0.25">
      <c r="A63" s="46"/>
      <c r="B63" s="46"/>
      <c r="C63" s="46"/>
      <c r="D63" s="46"/>
    </row>
    <row r="64" spans="1:4" ht="12.75" customHeight="1" x14ac:dyDescent="0.25">
      <c r="A64" s="46"/>
      <c r="B64" s="46"/>
      <c r="C64" s="46"/>
      <c r="D64" s="46"/>
    </row>
    <row r="65" spans="1:4" ht="12.75" customHeight="1" x14ac:dyDescent="0.25">
      <c r="A65" s="46"/>
      <c r="B65" s="46"/>
      <c r="C65" s="46"/>
      <c r="D65" s="46"/>
    </row>
    <row r="66" spans="1:4" ht="12.75" customHeight="1" x14ac:dyDescent="0.25">
      <c r="A66" s="46"/>
      <c r="B66" s="46"/>
      <c r="C66" s="46"/>
      <c r="D66" s="46"/>
    </row>
    <row r="67" spans="1:4" ht="12.75" customHeight="1" x14ac:dyDescent="0.25">
      <c r="A67" s="46"/>
      <c r="B67" s="46"/>
      <c r="C67" s="46"/>
      <c r="D67" s="46"/>
    </row>
    <row r="68" spans="1:4" ht="12.75" customHeight="1" x14ac:dyDescent="0.25">
      <c r="A68" s="46"/>
      <c r="B68" s="46"/>
      <c r="C68" s="46"/>
      <c r="D68" s="46"/>
    </row>
    <row r="69" spans="1:4" ht="12.75" customHeight="1" x14ac:dyDescent="0.25">
      <c r="A69" s="46"/>
      <c r="B69" s="46"/>
      <c r="C69" s="46"/>
      <c r="D69" s="46"/>
    </row>
    <row r="70" spans="1:4" ht="12.75" customHeight="1" x14ac:dyDescent="0.25">
      <c r="A70" s="46"/>
      <c r="B70" s="46"/>
      <c r="C70" s="46"/>
      <c r="D70" s="46"/>
    </row>
    <row r="71" spans="1:4" ht="12.75" customHeight="1" x14ac:dyDescent="0.25">
      <c r="A71" s="46"/>
      <c r="B71" s="46"/>
      <c r="C71" s="46"/>
      <c r="D71" s="46"/>
    </row>
    <row r="72" spans="1:4" ht="12.75" customHeight="1" x14ac:dyDescent="0.25">
      <c r="A72" s="46"/>
      <c r="B72" s="46"/>
      <c r="C72" s="46"/>
      <c r="D72" s="46"/>
    </row>
    <row r="73" spans="1:4" ht="12.75" customHeight="1" x14ac:dyDescent="0.25">
      <c r="A73" s="46"/>
      <c r="B73" s="46"/>
      <c r="C73" s="46"/>
      <c r="D73" s="46"/>
    </row>
    <row r="74" spans="1:4" ht="12.75" customHeight="1" x14ac:dyDescent="0.25">
      <c r="A74" s="46"/>
      <c r="B74" s="46"/>
      <c r="C74" s="46"/>
      <c r="D74" s="46"/>
    </row>
    <row r="75" spans="1:4" ht="12.75" customHeight="1" x14ac:dyDescent="0.25">
      <c r="A75" s="46"/>
      <c r="B75" s="46"/>
      <c r="C75" s="46"/>
      <c r="D75" s="46"/>
    </row>
    <row r="76" spans="1:4" ht="12.75" customHeight="1" x14ac:dyDescent="0.25">
      <c r="A76" s="46"/>
      <c r="B76" s="46"/>
      <c r="C76" s="46"/>
      <c r="D76" s="46"/>
    </row>
    <row r="77" spans="1:4" ht="12.75" customHeight="1" x14ac:dyDescent="0.25">
      <c r="A77" s="46"/>
      <c r="B77" s="46"/>
      <c r="C77" s="46"/>
      <c r="D77" s="46"/>
    </row>
    <row r="78" spans="1:4" ht="12.75" customHeight="1" x14ac:dyDescent="0.25">
      <c r="A78" s="46"/>
      <c r="B78" s="46"/>
      <c r="C78" s="46"/>
      <c r="D78" s="46"/>
    </row>
    <row r="79" spans="1:4" ht="12.75" customHeight="1" x14ac:dyDescent="0.25">
      <c r="A79" s="46"/>
      <c r="B79" s="46"/>
      <c r="C79" s="46"/>
      <c r="D79" s="46"/>
    </row>
    <row r="80" spans="1:4" ht="12.75" customHeight="1" x14ac:dyDescent="0.25">
      <c r="A80" s="46"/>
      <c r="B80" s="46"/>
      <c r="C80" s="46"/>
      <c r="D80" s="46"/>
    </row>
    <row r="81" spans="1:4" ht="12.75" customHeight="1" x14ac:dyDescent="0.25">
      <c r="A81" s="46"/>
      <c r="B81" s="46"/>
      <c r="C81" s="46"/>
      <c r="D81" s="46"/>
    </row>
    <row r="82" spans="1:4" ht="12.75" customHeight="1" x14ac:dyDescent="0.25">
      <c r="A82" s="46"/>
      <c r="B82" s="46"/>
      <c r="C82" s="46"/>
      <c r="D82" s="46"/>
    </row>
    <row r="83" spans="1:4" ht="12.75" customHeight="1" x14ac:dyDescent="0.25">
      <c r="A83" s="46"/>
      <c r="B83" s="46"/>
      <c r="C83" s="46"/>
      <c r="D83" s="46"/>
    </row>
    <row r="84" spans="1:4" ht="12.75" customHeight="1" x14ac:dyDescent="0.25">
      <c r="A84" s="46"/>
      <c r="B84" s="46"/>
      <c r="C84" s="46"/>
      <c r="D84" s="46"/>
    </row>
    <row r="85" spans="1:4" ht="12.75" customHeight="1" x14ac:dyDescent="0.25">
      <c r="A85" s="46"/>
      <c r="B85" s="46"/>
      <c r="C85" s="46"/>
      <c r="D85" s="46"/>
    </row>
    <row r="86" spans="1:4" ht="12.75" customHeight="1" x14ac:dyDescent="0.25">
      <c r="A86" s="46"/>
      <c r="B86" s="46"/>
      <c r="C86" s="46"/>
      <c r="D86" s="46"/>
    </row>
    <row r="87" spans="1:4" ht="12.75" customHeight="1" x14ac:dyDescent="0.25">
      <c r="A87" s="46"/>
      <c r="B87" s="46"/>
      <c r="C87" s="46"/>
      <c r="D87" s="46"/>
    </row>
    <row r="88" spans="1:4" ht="12.75" customHeight="1" x14ac:dyDescent="0.25">
      <c r="A88" s="46"/>
      <c r="B88" s="46"/>
      <c r="C88" s="46"/>
      <c r="D88" s="46"/>
    </row>
    <row r="89" spans="1:4" ht="12.75" customHeight="1" x14ac:dyDescent="0.25">
      <c r="A89" s="46"/>
      <c r="B89" s="46"/>
      <c r="C89" s="46"/>
      <c r="D89" s="46"/>
    </row>
    <row r="90" spans="1:4" ht="12.75" customHeight="1" x14ac:dyDescent="0.25">
      <c r="A90" s="46"/>
      <c r="B90" s="46"/>
      <c r="C90" s="46"/>
      <c r="D90" s="46"/>
    </row>
    <row r="91" spans="1:4" ht="12.75" customHeight="1" x14ac:dyDescent="0.25">
      <c r="A91" s="46"/>
      <c r="B91" s="46"/>
      <c r="C91" s="46"/>
      <c r="D91" s="46"/>
    </row>
    <row r="92" spans="1:4" ht="12.75" customHeight="1" x14ac:dyDescent="0.25">
      <c r="A92" s="46"/>
      <c r="B92" s="46"/>
      <c r="C92" s="46"/>
      <c r="D92" s="46"/>
    </row>
    <row r="93" spans="1:4" ht="12.75" customHeight="1" x14ac:dyDescent="0.25">
      <c r="A93" s="46"/>
      <c r="B93" s="46"/>
      <c r="C93" s="46"/>
      <c r="D93" s="46"/>
    </row>
    <row r="94" spans="1:4" ht="12.75" customHeight="1" x14ac:dyDescent="0.25">
      <c r="A94" s="46"/>
      <c r="B94" s="46"/>
      <c r="C94" s="46"/>
      <c r="D94" s="46"/>
    </row>
    <row r="95" spans="1:4" ht="12.75" customHeight="1" x14ac:dyDescent="0.25">
      <c r="A95" s="46"/>
      <c r="B95" s="46"/>
      <c r="C95" s="46"/>
      <c r="D95" s="46"/>
    </row>
    <row r="96" spans="1:4" ht="12.75" customHeight="1" x14ac:dyDescent="0.25">
      <c r="A96" s="46"/>
      <c r="B96" s="46"/>
      <c r="C96" s="46"/>
      <c r="D96" s="46"/>
    </row>
    <row r="97" spans="1:4" ht="12.75" customHeight="1" x14ac:dyDescent="0.25">
      <c r="A97" s="46"/>
      <c r="B97" s="46"/>
      <c r="C97" s="46"/>
      <c r="D97" s="46"/>
    </row>
    <row r="98" spans="1:4" ht="12.75" customHeight="1" x14ac:dyDescent="0.25">
      <c r="A98" s="46"/>
      <c r="B98" s="46"/>
      <c r="C98" s="46"/>
      <c r="D98" s="46"/>
    </row>
    <row r="99" spans="1:4" ht="12.75" customHeight="1" x14ac:dyDescent="0.25">
      <c r="A99" s="46"/>
      <c r="B99" s="46"/>
      <c r="C99" s="46"/>
      <c r="D99" s="46"/>
    </row>
    <row r="100" spans="1:4" ht="12.75" customHeight="1" x14ac:dyDescent="0.25">
      <c r="A100" s="46"/>
      <c r="B100" s="46"/>
      <c r="C100" s="46"/>
      <c r="D100" s="46"/>
    </row>
    <row r="101" spans="1:4" ht="12.75" customHeight="1" x14ac:dyDescent="0.25">
      <c r="A101" s="46"/>
      <c r="B101" s="46"/>
      <c r="C101" s="46"/>
      <c r="D101" s="46"/>
    </row>
  </sheetData>
  <sheetProtection sheet="1" objects="1" scenarios="1"/>
  <mergeCells count="4">
    <mergeCell ref="A2:A3"/>
    <mergeCell ref="B2:B3"/>
    <mergeCell ref="C2:C3"/>
    <mergeCell ref="D2:E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2">
    <tabColor rgb="FFC4FCDF"/>
    <pageSetUpPr fitToPage="1"/>
  </sheetPr>
  <dimension ref="A1:P62"/>
  <sheetViews>
    <sheetView showGridLines="0" workbookViewId="0">
      <pane xSplit="2" ySplit="4" topLeftCell="C23" activePane="bottomRight" state="frozen"/>
      <selection activeCell="F27" sqref="F27"/>
      <selection pane="topRight" activeCell="F27" sqref="F27"/>
      <selection pane="bottomLeft" activeCell="F27" sqref="F27"/>
      <selection pane="bottomRight" activeCell="F32" sqref="F32"/>
    </sheetView>
  </sheetViews>
  <sheetFormatPr defaultRowHeight="12.75" x14ac:dyDescent="0.25"/>
  <cols>
    <col min="1" max="1" width="34.140625" style="20" customWidth="1"/>
    <col min="2" max="2" width="3.140625" style="47" customWidth="1"/>
    <col min="3" max="5" width="10.7109375" style="20" customWidth="1"/>
    <col min="6" max="10" width="8.7109375" style="20" customWidth="1"/>
    <col min="11" max="11" width="9.85546875" style="20" customWidth="1"/>
    <col min="12" max="12" width="9.85546875" style="20" bestFit="1" customWidth="1"/>
    <col min="13" max="14" width="9.85546875" style="20" customWidth="1"/>
    <col min="15" max="15" width="9.5703125" style="20" customWidth="1"/>
    <col min="16" max="16" width="9.85546875" style="20" customWidth="1"/>
    <col min="17" max="19" width="9.5703125" style="20" customWidth="1"/>
    <col min="20" max="20" width="9.85546875" style="20" customWidth="1"/>
    <col min="21" max="23" width="9.5703125" style="20" customWidth="1"/>
    <col min="24" max="25" width="9.85546875" style="20" customWidth="1"/>
    <col min="26" max="16384" width="9.140625" style="20"/>
  </cols>
  <sheetData>
    <row r="1" spans="1:10" ht="13.5" x14ac:dyDescent="0.25">
      <c r="A1" s="89" t="str">
        <f>MEAB7&amp;" - "&amp;Date</f>
        <v>Greater Tzaneen Development Agency - Supporting Table SE3   Adjustments Budget  - investment Portfolio - 29/02/2016</v>
      </c>
    </row>
    <row r="2" spans="1:10" x14ac:dyDescent="0.25">
      <c r="A2" s="453" t="s">
        <v>359</v>
      </c>
      <c r="B2" s="438" t="str">
        <f>head27</f>
        <v>Ref</v>
      </c>
      <c r="C2" s="437" t="str">
        <f>Head9</f>
        <v>Budget Year 2015/16</v>
      </c>
      <c r="D2" s="434"/>
      <c r="E2" s="434"/>
      <c r="F2" s="434"/>
      <c r="G2" s="434"/>
      <c r="H2" s="434"/>
      <c r="I2" s="434"/>
      <c r="J2" s="458"/>
    </row>
    <row r="3" spans="1:10" ht="25.5" x14ac:dyDescent="0.25">
      <c r="A3" s="441"/>
      <c r="B3" s="439"/>
      <c r="C3" s="153" t="s">
        <v>300</v>
      </c>
      <c r="D3" s="454" t="s">
        <v>301</v>
      </c>
      <c r="E3" s="456" t="s">
        <v>136</v>
      </c>
      <c r="F3" s="449" t="s">
        <v>79</v>
      </c>
      <c r="G3" s="451" t="s">
        <v>302</v>
      </c>
      <c r="H3" s="208" t="s">
        <v>344</v>
      </c>
      <c r="I3" s="209"/>
      <c r="J3" s="210"/>
    </row>
    <row r="4" spans="1:10" x14ac:dyDescent="0.25">
      <c r="A4" s="141" t="s">
        <v>193</v>
      </c>
      <c r="B4" s="115"/>
      <c r="C4" s="153" t="s">
        <v>304</v>
      </c>
      <c r="D4" s="455"/>
      <c r="E4" s="457"/>
      <c r="F4" s="450"/>
      <c r="G4" s="452"/>
      <c r="H4" s="154" t="s">
        <v>345</v>
      </c>
      <c r="I4" s="146" t="s">
        <v>281</v>
      </c>
      <c r="J4" s="148" t="s">
        <v>346</v>
      </c>
    </row>
    <row r="5" spans="1:10" ht="12.75" customHeight="1" x14ac:dyDescent="0.25">
      <c r="A5" s="217"/>
      <c r="B5" s="254"/>
      <c r="C5" s="236"/>
      <c r="D5" s="212"/>
      <c r="E5" s="237"/>
      <c r="F5" s="211"/>
      <c r="G5" s="213"/>
      <c r="H5" s="236"/>
      <c r="I5" s="212"/>
      <c r="J5" s="213"/>
    </row>
    <row r="6" spans="1:10" ht="12.75" customHeight="1" x14ac:dyDescent="0.25">
      <c r="A6" s="217"/>
      <c r="B6" s="254"/>
      <c r="C6" s="236"/>
      <c r="D6" s="212"/>
      <c r="E6" s="237"/>
      <c r="F6" s="211"/>
      <c r="G6" s="213"/>
      <c r="H6" s="236"/>
      <c r="I6" s="212"/>
      <c r="J6" s="213"/>
    </row>
    <row r="7" spans="1:10" ht="12.75" customHeight="1" x14ac:dyDescent="0.25">
      <c r="A7" s="217"/>
      <c r="B7" s="254"/>
      <c r="C7" s="236"/>
      <c r="D7" s="212"/>
      <c r="E7" s="237"/>
      <c r="F7" s="211"/>
      <c r="G7" s="213"/>
      <c r="H7" s="236"/>
      <c r="I7" s="212"/>
      <c r="J7" s="213"/>
    </row>
    <row r="8" spans="1:10" ht="12.75" customHeight="1" x14ac:dyDescent="0.25">
      <c r="A8" s="217"/>
      <c r="B8" s="254"/>
      <c r="C8" s="236"/>
      <c r="D8" s="212"/>
      <c r="E8" s="237"/>
      <c r="F8" s="211"/>
      <c r="G8" s="213"/>
      <c r="H8" s="236"/>
      <c r="I8" s="212"/>
      <c r="J8" s="213"/>
    </row>
    <row r="9" spans="1:10" ht="12.75" customHeight="1" x14ac:dyDescent="0.25">
      <c r="A9" s="217"/>
      <c r="B9" s="254"/>
      <c r="C9" s="236"/>
      <c r="D9" s="212"/>
      <c r="E9" s="237"/>
      <c r="F9" s="211"/>
      <c r="G9" s="213"/>
      <c r="H9" s="236"/>
      <c r="I9" s="212"/>
      <c r="J9" s="213"/>
    </row>
    <row r="10" spans="1:10" ht="12.75" customHeight="1" x14ac:dyDescent="0.25">
      <c r="A10" s="217"/>
      <c r="B10" s="254"/>
      <c r="C10" s="236"/>
      <c r="D10" s="212"/>
      <c r="E10" s="237"/>
      <c r="F10" s="211"/>
      <c r="G10" s="213"/>
      <c r="H10" s="236"/>
      <c r="I10" s="212"/>
      <c r="J10" s="213"/>
    </row>
    <row r="11" spans="1:10" ht="12.75" customHeight="1" x14ac:dyDescent="0.25">
      <c r="A11" s="217"/>
      <c r="B11" s="254"/>
      <c r="C11" s="236"/>
      <c r="D11" s="212"/>
      <c r="E11" s="237"/>
      <c r="F11" s="211"/>
      <c r="G11" s="213"/>
      <c r="H11" s="236"/>
      <c r="I11" s="212"/>
      <c r="J11" s="213"/>
    </row>
    <row r="12" spans="1:10" ht="12.75" customHeight="1" x14ac:dyDescent="0.25">
      <c r="A12" s="217"/>
      <c r="B12" s="254"/>
      <c r="C12" s="236"/>
      <c r="D12" s="212"/>
      <c r="E12" s="237"/>
      <c r="F12" s="211"/>
      <c r="G12" s="213"/>
      <c r="H12" s="236"/>
      <c r="I12" s="212"/>
      <c r="J12" s="213"/>
    </row>
    <row r="13" spans="1:10" ht="12.75" customHeight="1" x14ac:dyDescent="0.25">
      <c r="A13" s="217"/>
      <c r="B13" s="254"/>
      <c r="C13" s="236"/>
      <c r="D13" s="212"/>
      <c r="E13" s="237"/>
      <c r="F13" s="211"/>
      <c r="G13" s="213"/>
      <c r="H13" s="236"/>
      <c r="I13" s="212"/>
      <c r="J13" s="213"/>
    </row>
    <row r="14" spans="1:10" ht="12.75" customHeight="1" x14ac:dyDescent="0.25">
      <c r="A14" s="217"/>
      <c r="B14" s="254"/>
      <c r="C14" s="236"/>
      <c r="D14" s="212"/>
      <c r="E14" s="237"/>
      <c r="F14" s="211"/>
      <c r="G14" s="213"/>
      <c r="H14" s="236"/>
      <c r="I14" s="212"/>
      <c r="J14" s="213"/>
    </row>
    <row r="15" spans="1:10" ht="12.75" customHeight="1" x14ac:dyDescent="0.25">
      <c r="A15" s="217"/>
      <c r="B15" s="254"/>
      <c r="C15" s="236"/>
      <c r="D15" s="212"/>
      <c r="E15" s="237"/>
      <c r="F15" s="211"/>
      <c r="G15" s="213"/>
      <c r="H15" s="236"/>
      <c r="I15" s="212"/>
      <c r="J15" s="213"/>
    </row>
    <row r="16" spans="1:10" ht="12.75" customHeight="1" x14ac:dyDescent="0.25">
      <c r="A16" s="217"/>
      <c r="B16" s="254"/>
      <c r="C16" s="236"/>
      <c r="D16" s="212"/>
      <c r="E16" s="237"/>
      <c r="F16" s="211"/>
      <c r="G16" s="213"/>
      <c r="H16" s="236"/>
      <c r="I16" s="212"/>
      <c r="J16" s="213"/>
    </row>
    <row r="17" spans="1:16" ht="12.75" customHeight="1" x14ac:dyDescent="0.25">
      <c r="A17" s="217"/>
      <c r="B17" s="254"/>
      <c r="C17" s="236"/>
      <c r="D17" s="212"/>
      <c r="E17" s="237"/>
      <c r="F17" s="211"/>
      <c r="G17" s="213"/>
      <c r="H17" s="236"/>
      <c r="I17" s="212"/>
      <c r="J17" s="213"/>
    </row>
    <row r="18" spans="1:16" ht="12.75" customHeight="1" x14ac:dyDescent="0.25">
      <c r="A18" s="217"/>
      <c r="B18" s="254"/>
      <c r="C18" s="236"/>
      <c r="D18" s="212"/>
      <c r="E18" s="237"/>
      <c r="F18" s="211"/>
      <c r="G18" s="213"/>
      <c r="H18" s="236"/>
      <c r="I18" s="212"/>
      <c r="J18" s="213"/>
    </row>
    <row r="19" spans="1:16" ht="12.75" customHeight="1" x14ac:dyDescent="0.25">
      <c r="A19" s="217"/>
      <c r="B19" s="254"/>
      <c r="C19" s="236"/>
      <c r="D19" s="212"/>
      <c r="E19" s="237"/>
      <c r="F19" s="211"/>
      <c r="G19" s="213"/>
      <c r="H19" s="236"/>
      <c r="I19" s="212"/>
      <c r="J19" s="213"/>
    </row>
    <row r="20" spans="1:16" ht="12.75" customHeight="1" x14ac:dyDescent="0.25">
      <c r="A20" s="217"/>
      <c r="B20" s="254"/>
      <c r="C20" s="236"/>
      <c r="D20" s="212"/>
      <c r="E20" s="237"/>
      <c r="F20" s="211"/>
      <c r="G20" s="213"/>
      <c r="H20" s="236"/>
      <c r="I20" s="212"/>
      <c r="J20" s="213"/>
    </row>
    <row r="21" spans="1:16" ht="12.75" customHeight="1" x14ac:dyDescent="0.25">
      <c r="A21" s="217"/>
      <c r="B21" s="254"/>
      <c r="C21" s="236"/>
      <c r="D21" s="212"/>
      <c r="E21" s="237"/>
      <c r="F21" s="211"/>
      <c r="G21" s="213"/>
      <c r="H21" s="236"/>
      <c r="I21" s="212"/>
      <c r="J21" s="213"/>
    </row>
    <row r="22" spans="1:16" ht="12.75" customHeight="1" x14ac:dyDescent="0.25">
      <c r="A22" s="217"/>
      <c r="B22" s="254"/>
      <c r="C22" s="236"/>
      <c r="D22" s="212"/>
      <c r="E22" s="237"/>
      <c r="F22" s="211"/>
      <c r="G22" s="213"/>
      <c r="H22" s="236"/>
      <c r="I22" s="212"/>
      <c r="J22" s="213"/>
    </row>
    <row r="23" spans="1:16" ht="12.75" customHeight="1" x14ac:dyDescent="0.25">
      <c r="A23" s="217"/>
      <c r="B23" s="254"/>
      <c r="C23" s="236"/>
      <c r="D23" s="212"/>
      <c r="E23" s="237"/>
      <c r="F23" s="211"/>
      <c r="G23" s="213"/>
      <c r="H23" s="236"/>
      <c r="I23" s="212"/>
      <c r="J23" s="213"/>
    </row>
    <row r="24" spans="1:16" ht="12.75" customHeight="1" x14ac:dyDescent="0.25">
      <c r="A24" s="34" t="s">
        <v>355</v>
      </c>
      <c r="B24" s="113">
        <v>2</v>
      </c>
      <c r="C24" s="343"/>
      <c r="D24" s="344"/>
      <c r="E24" s="345"/>
      <c r="F24" s="36">
        <f>SUM(F5:F19)</f>
        <v>0</v>
      </c>
      <c r="G24" s="342"/>
      <c r="H24" s="121">
        <f>SUM(H5:H19)</f>
        <v>0</v>
      </c>
      <c r="I24" s="35">
        <f>SUM(I5:I19)</f>
        <v>0</v>
      </c>
      <c r="J24" s="112">
        <f>SUM(J5:J19)</f>
        <v>0</v>
      </c>
    </row>
    <row r="25" spans="1:16" ht="12.75" customHeight="1" x14ac:dyDescent="0.25">
      <c r="A25" s="37" t="str">
        <f>head27a</f>
        <v>References</v>
      </c>
      <c r="B25" s="38"/>
      <c r="C25" s="56"/>
      <c r="D25" s="56"/>
      <c r="E25" s="56"/>
      <c r="F25" s="56"/>
      <c r="G25" s="56"/>
      <c r="H25" s="56"/>
      <c r="I25" s="56"/>
      <c r="J25" s="56"/>
      <c r="N25" s="46"/>
      <c r="O25" s="46"/>
      <c r="P25" s="46"/>
    </row>
    <row r="26" spans="1:16" ht="12.75" customHeight="1" x14ac:dyDescent="0.25">
      <c r="A26" s="53" t="s">
        <v>356</v>
      </c>
      <c r="B26" s="38"/>
      <c r="C26" s="56"/>
      <c r="D26" s="56"/>
      <c r="E26" s="56"/>
      <c r="F26" s="56"/>
      <c r="G26" s="56"/>
      <c r="H26" s="56"/>
      <c r="I26" s="56"/>
      <c r="J26" s="56"/>
      <c r="N26" s="46"/>
      <c r="O26" s="46"/>
      <c r="P26" s="46"/>
    </row>
    <row r="27" spans="1:16" ht="11.25" customHeight="1" x14ac:dyDescent="0.25">
      <c r="A27" s="81"/>
      <c r="B27" s="38"/>
      <c r="C27" s="42"/>
      <c r="D27" s="41"/>
      <c r="E27" s="42"/>
      <c r="F27" s="42"/>
      <c r="G27" s="42"/>
      <c r="H27" s="42"/>
      <c r="I27" s="42"/>
      <c r="J27" s="42"/>
    </row>
    <row r="28" spans="1:16" ht="11.25" customHeight="1" x14ac:dyDescent="0.25">
      <c r="A28" s="55"/>
      <c r="B28" s="38"/>
      <c r="C28" s="56"/>
      <c r="D28" s="56"/>
      <c r="E28" s="56"/>
      <c r="F28" s="56"/>
      <c r="G28" s="56"/>
      <c r="H28" s="56"/>
      <c r="I28" s="56"/>
      <c r="J28" s="56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11.25" customHeight="1" x14ac:dyDescent="0.25"/>
    <row r="34" ht="11.25" customHeight="1" x14ac:dyDescent="0.25"/>
    <row r="35" ht="11.25" customHeight="1" x14ac:dyDescent="0.25"/>
    <row r="36" ht="11.25" customHeight="1" x14ac:dyDescent="0.25"/>
    <row r="37" ht="11.25" customHeight="1" x14ac:dyDescent="0.25"/>
    <row r="38" ht="11.25" customHeight="1" x14ac:dyDescent="0.25"/>
    <row r="39" ht="11.25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7">
    <mergeCell ref="F3:F4"/>
    <mergeCell ref="G3:G4"/>
    <mergeCell ref="A2:A3"/>
    <mergeCell ref="B2:B3"/>
    <mergeCell ref="D3:D4"/>
    <mergeCell ref="E3:E4"/>
    <mergeCell ref="C2:J2"/>
  </mergeCells>
  <phoneticPr fontId="2" type="noConversion"/>
  <printOptions horizontalCentered="1"/>
  <pageMargins left="0.35" right="0.14000000000000001" top="0.79" bottom="0.6" header="0.51181102362204722" footer="0.51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>
    <tabColor rgb="FFC4FCDF"/>
    <pageSetUpPr fitToPage="1"/>
  </sheetPr>
  <dimension ref="A1:O137"/>
  <sheetViews>
    <sheetView showGridLines="0" workbookViewId="0">
      <pane xSplit="2" ySplit="5" topLeftCell="C48" activePane="bottomRight" state="frozen"/>
      <selection activeCell="F27" sqref="F27"/>
      <selection pane="topRight" activeCell="F27" sqref="F27"/>
      <selection pane="bottomLeft" activeCell="F27" sqref="F27"/>
      <selection pane="bottomRight" activeCell="O38" sqref="O38"/>
    </sheetView>
  </sheetViews>
  <sheetFormatPr defaultRowHeight="12.75" x14ac:dyDescent="0.25"/>
  <cols>
    <col min="1" max="1" width="30.7109375" style="20" customWidth="1"/>
    <col min="2" max="2" width="3.140625" style="47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 x14ac:dyDescent="0.25">
      <c r="A1" s="19" t="str">
        <f>MEAB8&amp;" - "&amp;Date</f>
        <v>Greater Tzaneen Development Agency - Supporting Table SE4   Adjustments Budget  - board member allowances and staff benefits - 29/02/2016</v>
      </c>
    </row>
    <row r="2" spans="1:12" ht="38.25" x14ac:dyDescent="0.25">
      <c r="A2" s="459" t="s">
        <v>348</v>
      </c>
      <c r="B2" s="438" t="str">
        <f>head27</f>
        <v>Ref</v>
      </c>
      <c r="C2" s="437" t="str">
        <f>Head9</f>
        <v>Budget Year 2015/16</v>
      </c>
      <c r="D2" s="434"/>
      <c r="E2" s="434"/>
      <c r="F2" s="434"/>
      <c r="G2" s="434"/>
      <c r="H2" s="434"/>
      <c r="I2" s="434"/>
      <c r="J2" s="435"/>
      <c r="K2" s="21" t="str">
        <f>Head10</f>
        <v>Budget Year +1 2016/17</v>
      </c>
      <c r="L2" s="83" t="str">
        <f>Head11</f>
        <v>Budget Year +2 2017/18</v>
      </c>
    </row>
    <row r="3" spans="1:12" ht="25.5" x14ac:dyDescent="0.25">
      <c r="A3" s="460"/>
      <c r="B3" s="439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60"/>
      <c r="B4" s="439"/>
      <c r="C4" s="196"/>
      <c r="D4" s="197">
        <v>3</v>
      </c>
      <c r="E4" s="197">
        <v>4</v>
      </c>
      <c r="F4" s="197">
        <v>5</v>
      </c>
      <c r="G4" s="197">
        <v>6</v>
      </c>
      <c r="H4" s="197">
        <v>7</v>
      </c>
      <c r="I4" s="197">
        <v>8</v>
      </c>
      <c r="J4" s="197">
        <v>9</v>
      </c>
      <c r="K4" s="128"/>
      <c r="L4" s="129"/>
    </row>
    <row r="5" spans="1:12" x14ac:dyDescent="0.25">
      <c r="A5" s="22" t="s">
        <v>193</v>
      </c>
      <c r="B5" s="72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x14ac:dyDescent="0.25">
      <c r="A6" s="165" t="s">
        <v>197</v>
      </c>
      <c r="B6" s="92"/>
      <c r="C6" s="30"/>
      <c r="D6" s="29"/>
      <c r="E6" s="29"/>
      <c r="F6" s="29"/>
      <c r="G6" s="29"/>
      <c r="H6" s="29"/>
      <c r="I6" s="29"/>
      <c r="J6" s="29"/>
      <c r="K6" s="29"/>
      <c r="L6" s="84"/>
    </row>
    <row r="7" spans="1:12" ht="12.75" customHeight="1" x14ac:dyDescent="0.25">
      <c r="A7" s="58" t="s">
        <v>436</v>
      </c>
      <c r="B7" s="92"/>
      <c r="C7" s="30"/>
      <c r="D7" s="29"/>
      <c r="E7" s="29"/>
      <c r="F7" s="29"/>
      <c r="G7" s="29"/>
      <c r="H7" s="29"/>
      <c r="I7" s="29"/>
      <c r="J7" s="29"/>
      <c r="K7" s="29"/>
      <c r="L7" s="85"/>
    </row>
    <row r="8" spans="1:12" ht="12.75" customHeight="1" x14ac:dyDescent="0.25">
      <c r="A8" s="26" t="s">
        <v>437</v>
      </c>
      <c r="B8" s="92"/>
      <c r="C8" s="211">
        <f>328000</f>
        <v>328000</v>
      </c>
      <c r="D8" s="212"/>
      <c r="E8" s="212"/>
      <c r="F8" s="212">
        <f>664474</f>
        <v>664474</v>
      </c>
      <c r="G8" s="212"/>
      <c r="H8" s="212"/>
      <c r="I8" s="29">
        <f>SUM(E8:H8)</f>
        <v>664474</v>
      </c>
      <c r="J8" s="29">
        <f>IF(D8=0,C8+I8,D8+I8)</f>
        <v>992474</v>
      </c>
      <c r="K8" s="211">
        <f>1247591.48</f>
        <v>1247591.48</v>
      </c>
      <c r="L8" s="212">
        <f>1335558.88</f>
        <v>1335558.8799999999</v>
      </c>
    </row>
    <row r="9" spans="1:12" ht="12.75" customHeight="1" x14ac:dyDescent="0.25">
      <c r="A9" s="26" t="s">
        <v>438</v>
      </c>
      <c r="B9" s="92"/>
      <c r="C9" s="211"/>
      <c r="D9" s="212"/>
      <c r="E9" s="212"/>
      <c r="F9" s="212"/>
      <c r="G9" s="212"/>
      <c r="H9" s="212"/>
      <c r="I9" s="29">
        <f t="shared" ref="I9:I16" si="0">SUM(E9:H9)</f>
        <v>0</v>
      </c>
      <c r="J9" s="29">
        <f t="shared" ref="J9:J16" si="1">IF(D9=0,C9+I9,D9+I9)</f>
        <v>0</v>
      </c>
      <c r="K9" s="212"/>
      <c r="L9" s="213"/>
    </row>
    <row r="10" spans="1:12" ht="12.75" customHeight="1" x14ac:dyDescent="0.25">
      <c r="A10" s="26" t="s">
        <v>439</v>
      </c>
      <c r="B10" s="92"/>
      <c r="C10" s="211"/>
      <c r="D10" s="212"/>
      <c r="E10" s="212"/>
      <c r="F10" s="212"/>
      <c r="G10" s="212"/>
      <c r="H10" s="212"/>
      <c r="I10" s="29">
        <f t="shared" si="0"/>
        <v>0</v>
      </c>
      <c r="J10" s="29">
        <f t="shared" si="1"/>
        <v>0</v>
      </c>
      <c r="K10" s="212"/>
      <c r="L10" s="213"/>
    </row>
    <row r="11" spans="1:12" ht="12.75" customHeight="1" x14ac:dyDescent="0.25">
      <c r="A11" s="265" t="s">
        <v>534</v>
      </c>
      <c r="B11" s="92"/>
      <c r="C11" s="211"/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0</v>
      </c>
      <c r="K11" s="212"/>
      <c r="L11" s="213"/>
    </row>
    <row r="12" spans="1:12" ht="12.75" customHeight="1" x14ac:dyDescent="0.25">
      <c r="A12" s="265" t="s">
        <v>536</v>
      </c>
      <c r="B12" s="92"/>
      <c r="C12" s="211"/>
      <c r="D12" s="212"/>
      <c r="E12" s="212"/>
      <c r="F12" s="212"/>
      <c r="G12" s="212"/>
      <c r="H12" s="212"/>
      <c r="I12" s="29">
        <f>SUM(E12:H12)</f>
        <v>0</v>
      </c>
      <c r="J12" s="29">
        <f>IF(D12=0,C12+I12,D12+I12)</f>
        <v>0</v>
      </c>
      <c r="K12" s="212"/>
      <c r="L12" s="213"/>
    </row>
    <row r="13" spans="1:12" ht="12.75" customHeight="1" x14ac:dyDescent="0.25">
      <c r="A13" s="26" t="s">
        <v>440</v>
      </c>
      <c r="B13" s="92"/>
      <c r="C13" s="211"/>
      <c r="D13" s="212"/>
      <c r="E13" s="212"/>
      <c r="F13" s="212"/>
      <c r="G13" s="212"/>
      <c r="H13" s="212"/>
      <c r="I13" s="29">
        <f>SUM(E13:H13)</f>
        <v>0</v>
      </c>
      <c r="J13" s="29">
        <f>IF(D13=0,C13+I13,D13+I13)</f>
        <v>0</v>
      </c>
      <c r="K13" s="212"/>
      <c r="L13" s="213"/>
    </row>
    <row r="14" spans="1:12" ht="12.75" customHeight="1" x14ac:dyDescent="0.25">
      <c r="A14" s="26" t="s">
        <v>535</v>
      </c>
      <c r="B14" s="92"/>
      <c r="C14" s="211"/>
      <c r="D14" s="212"/>
      <c r="E14" s="212"/>
      <c r="F14" s="212"/>
      <c r="G14" s="212"/>
      <c r="H14" s="212"/>
      <c r="I14" s="29">
        <f>SUM(E14:H14)</f>
        <v>0</v>
      </c>
      <c r="J14" s="29">
        <f>IF(D14=0,C14+I14,D14+I14)</f>
        <v>0</v>
      </c>
      <c r="K14" s="212"/>
      <c r="L14" s="213"/>
    </row>
    <row r="15" spans="1:12" ht="12.75" customHeight="1" x14ac:dyDescent="0.25">
      <c r="A15" s="26" t="s">
        <v>441</v>
      </c>
      <c r="B15" s="92"/>
      <c r="C15" s="211"/>
      <c r="D15" s="212"/>
      <c r="E15" s="212"/>
      <c r="F15" s="212"/>
      <c r="G15" s="212"/>
      <c r="H15" s="212"/>
      <c r="I15" s="29">
        <f t="shared" si="0"/>
        <v>0</v>
      </c>
      <c r="J15" s="29">
        <f t="shared" si="1"/>
        <v>0</v>
      </c>
      <c r="K15" s="212"/>
      <c r="L15" s="213"/>
    </row>
    <row r="16" spans="1:12" ht="12.75" customHeight="1" x14ac:dyDescent="0.25">
      <c r="A16" s="26" t="s">
        <v>442</v>
      </c>
      <c r="B16" s="92">
        <v>1</v>
      </c>
      <c r="C16" s="211"/>
      <c r="D16" s="212"/>
      <c r="E16" s="212"/>
      <c r="F16" s="212"/>
      <c r="G16" s="212"/>
      <c r="H16" s="212"/>
      <c r="I16" s="29">
        <f t="shared" si="0"/>
        <v>0</v>
      </c>
      <c r="J16" s="29">
        <f t="shared" si="1"/>
        <v>0</v>
      </c>
      <c r="K16" s="212"/>
      <c r="L16" s="213"/>
    </row>
    <row r="17" spans="1:12" ht="12.75" customHeight="1" x14ac:dyDescent="0.25">
      <c r="A17" s="58" t="s">
        <v>443</v>
      </c>
      <c r="B17" s="92"/>
      <c r="C17" s="49">
        <f t="shared" ref="C17:L17" si="2">SUM(C8:C16)</f>
        <v>328000</v>
      </c>
      <c r="D17" s="48">
        <f t="shared" si="2"/>
        <v>0</v>
      </c>
      <c r="E17" s="48">
        <f t="shared" si="2"/>
        <v>0</v>
      </c>
      <c r="F17" s="48">
        <f t="shared" si="2"/>
        <v>664474</v>
      </c>
      <c r="G17" s="48">
        <f t="shared" si="2"/>
        <v>0</v>
      </c>
      <c r="H17" s="48">
        <f t="shared" si="2"/>
        <v>0</v>
      </c>
      <c r="I17" s="48">
        <f t="shared" si="2"/>
        <v>664474</v>
      </c>
      <c r="J17" s="48">
        <f t="shared" si="2"/>
        <v>992474</v>
      </c>
      <c r="K17" s="48">
        <f t="shared" si="2"/>
        <v>1247591.48</v>
      </c>
      <c r="L17" s="86">
        <f t="shared" si="2"/>
        <v>1335558.8799999999</v>
      </c>
    </row>
    <row r="18" spans="1:12" ht="12.75" customHeight="1" x14ac:dyDescent="0.25">
      <c r="A18" s="58" t="s">
        <v>444</v>
      </c>
      <c r="B18" s="92"/>
      <c r="C18" s="359"/>
      <c r="D18" s="360"/>
      <c r="E18" s="360"/>
      <c r="F18" s="360"/>
      <c r="G18" s="360"/>
      <c r="H18" s="360"/>
      <c r="I18" s="360"/>
      <c r="J18" s="357">
        <f>IF(ISERROR((J17-C17)/C17),0,((J17-C17)/C17))</f>
        <v>2.0258353658536588</v>
      </c>
      <c r="K18" s="357">
        <f>IF(ISERROR((K17-J17)/J17),0,((K17-J17)/J17))</f>
        <v>0.25705205375657192</v>
      </c>
      <c r="L18" s="358">
        <f>IF(ISERROR((L17-K17)/K17),0,((L17-K17)/K17))</f>
        <v>7.0509779371048534E-2</v>
      </c>
    </row>
    <row r="19" spans="1:12" ht="5.0999999999999996" customHeight="1" x14ac:dyDescent="0.25">
      <c r="A19" s="27"/>
      <c r="B19" s="92"/>
      <c r="C19" s="30"/>
      <c r="D19" s="29"/>
      <c r="E19" s="29"/>
      <c r="F19" s="29"/>
      <c r="G19" s="29"/>
      <c r="H19" s="29"/>
      <c r="I19" s="29"/>
      <c r="J19" s="29"/>
      <c r="K19" s="29"/>
      <c r="L19" s="85"/>
    </row>
    <row r="20" spans="1:12" ht="12.75" customHeight="1" x14ac:dyDescent="0.25">
      <c r="A20" s="58" t="s">
        <v>445</v>
      </c>
      <c r="B20" s="92">
        <v>2</v>
      </c>
      <c r="C20" s="30"/>
      <c r="D20" s="29"/>
      <c r="E20" s="29"/>
      <c r="F20" s="29"/>
      <c r="G20" s="29"/>
      <c r="H20" s="29"/>
      <c r="I20" s="29"/>
      <c r="J20" s="29"/>
      <c r="K20" s="29"/>
      <c r="L20" s="85"/>
    </row>
    <row r="21" spans="1:12" ht="12.75" customHeight="1" x14ac:dyDescent="0.25">
      <c r="A21" s="26" t="s">
        <v>437</v>
      </c>
      <c r="B21" s="92"/>
      <c r="C21" s="211">
        <f>913786</f>
        <v>913786</v>
      </c>
      <c r="D21" s="212"/>
      <c r="E21" s="212"/>
      <c r="F21" s="212"/>
      <c r="G21" s="212"/>
      <c r="H21" s="212"/>
      <c r="I21" s="29">
        <f t="shared" ref="I21:I29" si="3">SUM(E21:H21)</f>
        <v>0</v>
      </c>
      <c r="J21" s="29">
        <f t="shared" ref="J21:J29" si="4">IF(D21=0,C21+I21,D21+I21)</f>
        <v>913786</v>
      </c>
      <c r="K21" s="213">
        <f>975832</f>
        <v>975832</v>
      </c>
      <c r="L21" s="212">
        <f>(913786.49*0.07)+913786.49</f>
        <v>977751.54429999995</v>
      </c>
    </row>
    <row r="22" spans="1:12" ht="12.75" customHeight="1" x14ac:dyDescent="0.25">
      <c r="A22" s="26" t="s">
        <v>438</v>
      </c>
      <c r="B22" s="92"/>
      <c r="C22" s="211"/>
      <c r="D22" s="212"/>
      <c r="E22" s="212"/>
      <c r="F22" s="212"/>
      <c r="G22" s="212"/>
      <c r="H22" s="212"/>
      <c r="I22" s="29">
        <f t="shared" si="3"/>
        <v>0</v>
      </c>
      <c r="J22" s="29">
        <f t="shared" si="4"/>
        <v>0</v>
      </c>
      <c r="K22" s="211"/>
      <c r="L22" s="212"/>
    </row>
    <row r="23" spans="1:12" ht="12.75" customHeight="1" x14ac:dyDescent="0.25">
      <c r="A23" s="26" t="s">
        <v>439</v>
      </c>
      <c r="B23" s="92"/>
      <c r="C23" s="211"/>
      <c r="D23" s="212"/>
      <c r="E23" s="212"/>
      <c r="F23" s="212"/>
      <c r="G23" s="212"/>
      <c r="H23" s="212"/>
      <c r="I23" s="29">
        <f t="shared" si="3"/>
        <v>0</v>
      </c>
      <c r="J23" s="29">
        <f t="shared" si="4"/>
        <v>0</v>
      </c>
      <c r="K23" s="211"/>
      <c r="L23" s="212"/>
    </row>
    <row r="24" spans="1:12" ht="12.75" customHeight="1" x14ac:dyDescent="0.25">
      <c r="A24" s="265" t="s">
        <v>534</v>
      </c>
      <c r="B24" s="92"/>
      <c r="C24" s="211"/>
      <c r="D24" s="212"/>
      <c r="E24" s="212"/>
      <c r="F24" s="212"/>
      <c r="G24" s="212"/>
      <c r="H24" s="212"/>
      <c r="I24" s="29">
        <f t="shared" si="3"/>
        <v>0</v>
      </c>
      <c r="J24" s="29">
        <f t="shared" si="4"/>
        <v>0</v>
      </c>
      <c r="K24" s="211"/>
      <c r="L24" s="212"/>
    </row>
    <row r="25" spans="1:12" ht="12.75" customHeight="1" x14ac:dyDescent="0.25">
      <c r="A25" s="265" t="s">
        <v>536</v>
      </c>
      <c r="B25" s="92"/>
      <c r="C25" s="211"/>
      <c r="D25" s="212"/>
      <c r="E25" s="212"/>
      <c r="F25" s="212"/>
      <c r="G25" s="212"/>
      <c r="H25" s="212"/>
      <c r="I25" s="29">
        <f>SUM(E25:H25)</f>
        <v>0</v>
      </c>
      <c r="J25" s="29">
        <f>IF(D25=0,C25+I25,D25+I25)</f>
        <v>0</v>
      </c>
      <c r="K25" s="211"/>
      <c r="L25" s="212"/>
    </row>
    <row r="26" spans="1:12" ht="12.75" customHeight="1" x14ac:dyDescent="0.25">
      <c r="A26" s="26" t="s">
        <v>440</v>
      </c>
      <c r="B26" s="92"/>
      <c r="C26" s="211"/>
      <c r="D26" s="212"/>
      <c r="E26" s="212"/>
      <c r="F26" s="212"/>
      <c r="G26" s="212"/>
      <c r="H26" s="212"/>
      <c r="I26" s="29">
        <f t="shared" si="3"/>
        <v>0</v>
      </c>
      <c r="J26" s="29">
        <f t="shared" si="4"/>
        <v>0</v>
      </c>
      <c r="K26" s="211"/>
      <c r="L26" s="212"/>
    </row>
    <row r="27" spans="1:12" ht="12.75" customHeight="1" x14ac:dyDescent="0.25">
      <c r="A27" s="26" t="s">
        <v>446</v>
      </c>
      <c r="B27" s="92"/>
      <c r="C27" s="211"/>
      <c r="D27" s="212"/>
      <c r="E27" s="212"/>
      <c r="F27" s="212"/>
      <c r="G27" s="212"/>
      <c r="H27" s="212"/>
      <c r="I27" s="29">
        <f t="shared" si="3"/>
        <v>0</v>
      </c>
      <c r="J27" s="29">
        <f t="shared" si="4"/>
        <v>0</v>
      </c>
      <c r="K27" s="211"/>
      <c r="L27" s="212"/>
    </row>
    <row r="28" spans="1:12" ht="12.75" customHeight="1" x14ac:dyDescent="0.25">
      <c r="A28" s="26" t="s">
        <v>447</v>
      </c>
      <c r="B28" s="92"/>
      <c r="C28" s="211">
        <f>104414.08</f>
        <v>104414.08</v>
      </c>
      <c r="D28" s="212"/>
      <c r="E28" s="212"/>
      <c r="F28" s="212"/>
      <c r="G28" s="212"/>
      <c r="H28" s="212"/>
      <c r="I28" s="29">
        <f t="shared" si="3"/>
        <v>0</v>
      </c>
      <c r="J28" s="29">
        <f t="shared" si="4"/>
        <v>104414.08</v>
      </c>
      <c r="K28" s="211">
        <f>104414.08</f>
        <v>104414.08</v>
      </c>
      <c r="L28" s="212">
        <f>111723.01</f>
        <v>111723.01</v>
      </c>
    </row>
    <row r="29" spans="1:12" ht="12.75" customHeight="1" x14ac:dyDescent="0.25">
      <c r="A29" s="26" t="s">
        <v>441</v>
      </c>
      <c r="B29" s="92">
        <v>1</v>
      </c>
      <c r="C29" s="211"/>
      <c r="D29" s="212"/>
      <c r="E29" s="212"/>
      <c r="F29" s="212"/>
      <c r="G29" s="212"/>
      <c r="H29" s="212"/>
      <c r="I29" s="29">
        <f t="shared" si="3"/>
        <v>0</v>
      </c>
      <c r="J29" s="29">
        <f t="shared" si="4"/>
        <v>0</v>
      </c>
      <c r="K29" s="212"/>
      <c r="L29" s="213"/>
    </row>
    <row r="30" spans="1:12" ht="12.75" customHeight="1" x14ac:dyDescent="0.25">
      <c r="A30" s="58" t="s">
        <v>448</v>
      </c>
      <c r="B30" s="92"/>
      <c r="C30" s="49">
        <f t="shared" ref="C30:L30" si="5">SUM(C21:C28)</f>
        <v>1018200.08</v>
      </c>
      <c r="D30" s="48">
        <f t="shared" si="5"/>
        <v>0</v>
      </c>
      <c r="E30" s="48">
        <f t="shared" si="5"/>
        <v>0</v>
      </c>
      <c r="F30" s="48">
        <f t="shared" si="5"/>
        <v>0</v>
      </c>
      <c r="G30" s="48">
        <f>SUM(G21:G28)</f>
        <v>0</v>
      </c>
      <c r="H30" s="48">
        <f t="shared" si="5"/>
        <v>0</v>
      </c>
      <c r="I30" s="48">
        <f t="shared" si="5"/>
        <v>0</v>
      </c>
      <c r="J30" s="48">
        <f t="shared" si="5"/>
        <v>1018200.08</v>
      </c>
      <c r="K30" s="48">
        <f t="shared" si="5"/>
        <v>1080246.08</v>
      </c>
      <c r="L30" s="86">
        <f t="shared" si="5"/>
        <v>1089474.5543</v>
      </c>
    </row>
    <row r="31" spans="1:12" ht="12.75" customHeight="1" x14ac:dyDescent="0.25">
      <c r="A31" s="58" t="s">
        <v>444</v>
      </c>
      <c r="B31" s="92"/>
      <c r="C31" s="359"/>
      <c r="D31" s="360"/>
      <c r="E31" s="360"/>
      <c r="F31" s="360"/>
      <c r="G31" s="360"/>
      <c r="H31" s="360"/>
      <c r="I31" s="360"/>
      <c r="J31" s="357">
        <f>IF(ISERROR((J30-C30)/C30),0,((J30-C30)/C30))</f>
        <v>0</v>
      </c>
      <c r="K31" s="357">
        <f>IF(ISERROR((K30-J30)/J30),0,((K30-J30)/J30))</f>
        <v>6.093694276669092E-2</v>
      </c>
      <c r="L31" s="358">
        <f>IF(ISERROR((L30-K30)/K30),0,((L30-K30)/K30))</f>
        <v>8.5429370870754601E-3</v>
      </c>
    </row>
    <row r="32" spans="1:12" ht="5.0999999999999996" customHeight="1" x14ac:dyDescent="0.25">
      <c r="A32" s="27"/>
      <c r="B32" s="92"/>
      <c r="C32" s="30"/>
      <c r="D32" s="29"/>
      <c r="E32" s="29"/>
      <c r="F32" s="29"/>
      <c r="G32" s="29"/>
      <c r="H32" s="29"/>
      <c r="I32" s="29"/>
      <c r="J32" s="29"/>
      <c r="K32" s="29"/>
      <c r="L32" s="85"/>
    </row>
    <row r="33" spans="1:12" ht="12.75" customHeight="1" x14ac:dyDescent="0.25">
      <c r="A33" s="58" t="s">
        <v>449</v>
      </c>
      <c r="B33" s="92"/>
      <c r="C33" s="30"/>
      <c r="D33" s="29"/>
      <c r="E33" s="29"/>
      <c r="F33" s="29"/>
      <c r="G33" s="29"/>
      <c r="H33" s="29"/>
      <c r="I33" s="29"/>
      <c r="J33" s="29"/>
      <c r="K33" s="29"/>
      <c r="L33" s="85"/>
    </row>
    <row r="34" spans="1:12" ht="12.75" customHeight="1" x14ac:dyDescent="0.25">
      <c r="A34" s="26" t="s">
        <v>437</v>
      </c>
      <c r="B34" s="92"/>
      <c r="C34" s="211">
        <f>2835500.72+724468.75-104414.08-913786-104414.08-30000</f>
        <v>2407355.31</v>
      </c>
      <c r="D34" s="212"/>
      <c r="E34" s="212"/>
      <c r="F34" s="212"/>
      <c r="G34" s="212"/>
      <c r="H34" s="212"/>
      <c r="I34" s="29">
        <f t="shared" ref="I34:I43" si="6">SUM(E34:H34)</f>
        <v>0</v>
      </c>
      <c r="J34" s="29">
        <f t="shared" ref="J34:J43" si="7">IF(D34=0,C34+I34,D34+I34)</f>
        <v>2407355.31</v>
      </c>
      <c r="K34" s="211">
        <f>2627197.39+1617195.59-104414.08</f>
        <v>4139978.9000000004</v>
      </c>
      <c r="L34" s="212">
        <f>2818817.76+1965257.52-111723.01</f>
        <v>4672352.2699999996</v>
      </c>
    </row>
    <row r="35" spans="1:12" ht="12.75" customHeight="1" x14ac:dyDescent="0.25">
      <c r="A35" s="26" t="s">
        <v>438</v>
      </c>
      <c r="B35" s="92"/>
      <c r="C35" s="211"/>
      <c r="D35" s="212"/>
      <c r="E35" s="212"/>
      <c r="F35" s="212"/>
      <c r="G35" s="212"/>
      <c r="H35" s="212"/>
      <c r="I35" s="29">
        <f t="shared" si="6"/>
        <v>0</v>
      </c>
      <c r="J35" s="29">
        <f t="shared" si="7"/>
        <v>0</v>
      </c>
      <c r="K35" s="211">
        <f>284277.6</f>
        <v>284277.59999999998</v>
      </c>
      <c r="L35" s="212">
        <f>304177.03</f>
        <v>304177.03000000003</v>
      </c>
    </row>
    <row r="36" spans="1:12" ht="12.75" customHeight="1" x14ac:dyDescent="0.25">
      <c r="A36" s="26" t="s">
        <v>439</v>
      </c>
      <c r="B36" s="92"/>
      <c r="C36" s="211"/>
      <c r="D36" s="212"/>
      <c r="E36" s="212"/>
      <c r="F36" s="212"/>
      <c r="G36" s="212"/>
      <c r="H36" s="212"/>
      <c r="I36" s="29">
        <f t="shared" si="6"/>
        <v>0</v>
      </c>
      <c r="J36" s="29">
        <f t="shared" si="7"/>
        <v>0</v>
      </c>
      <c r="K36" s="211">
        <v>482253.18</v>
      </c>
      <c r="L36" s="212">
        <f>516010.9</f>
        <v>516010.9</v>
      </c>
    </row>
    <row r="37" spans="1:12" ht="12.75" customHeight="1" x14ac:dyDescent="0.25">
      <c r="A37" s="265" t="s">
        <v>534</v>
      </c>
      <c r="B37" s="92"/>
      <c r="C37" s="211"/>
      <c r="D37" s="212"/>
      <c r="E37" s="212"/>
      <c r="F37" s="212"/>
      <c r="G37" s="212"/>
      <c r="H37" s="212"/>
      <c r="I37" s="29">
        <f t="shared" si="6"/>
        <v>0</v>
      </c>
      <c r="J37" s="29">
        <f t="shared" si="7"/>
        <v>0</v>
      </c>
      <c r="K37" s="211"/>
      <c r="L37" s="212"/>
    </row>
    <row r="38" spans="1:12" ht="12.75" customHeight="1" x14ac:dyDescent="0.25">
      <c r="A38" s="265" t="s">
        <v>536</v>
      </c>
      <c r="B38" s="92"/>
      <c r="C38" s="211"/>
      <c r="D38" s="212"/>
      <c r="E38" s="212"/>
      <c r="F38" s="212"/>
      <c r="G38" s="212"/>
      <c r="H38" s="212"/>
      <c r="I38" s="29">
        <f>SUM(E38:H38)</f>
        <v>0</v>
      </c>
      <c r="J38" s="29">
        <f>IF(D38=0,C38+I38,D38+I38)</f>
        <v>0</v>
      </c>
      <c r="K38" s="211"/>
      <c r="L38" s="212"/>
    </row>
    <row r="39" spans="1:12" ht="12.75" customHeight="1" x14ac:dyDescent="0.25">
      <c r="A39" s="26" t="s">
        <v>440</v>
      </c>
      <c r="B39" s="92"/>
      <c r="C39" s="211"/>
      <c r="D39" s="212"/>
      <c r="E39" s="212"/>
      <c r="F39" s="212"/>
      <c r="G39" s="212"/>
      <c r="H39" s="212"/>
      <c r="I39" s="29">
        <f t="shared" si="6"/>
        <v>0</v>
      </c>
      <c r="J39" s="29">
        <f t="shared" si="7"/>
        <v>0</v>
      </c>
      <c r="K39" s="211">
        <f>0</f>
        <v>0</v>
      </c>
      <c r="L39" s="212">
        <f>234858.24</f>
        <v>234858.23999999999</v>
      </c>
    </row>
    <row r="40" spans="1:12" ht="12.75" customHeight="1" x14ac:dyDescent="0.25">
      <c r="A40" s="26" t="s">
        <v>450</v>
      </c>
      <c r="B40" s="92"/>
      <c r="C40" s="211">
        <f>30000</f>
        <v>30000</v>
      </c>
      <c r="D40" s="212"/>
      <c r="E40" s="212"/>
      <c r="F40" s="212"/>
      <c r="G40" s="212"/>
      <c r="H40" s="212"/>
      <c r="I40" s="29">
        <f t="shared" si="6"/>
        <v>0</v>
      </c>
      <c r="J40" s="29">
        <f t="shared" si="7"/>
        <v>30000</v>
      </c>
      <c r="K40" s="211">
        <f>73548.6</f>
        <v>73548.600000000006</v>
      </c>
      <c r="L40" s="212">
        <f>80903.46</f>
        <v>80903.460000000006</v>
      </c>
    </row>
    <row r="41" spans="1:12" ht="12.75" customHeight="1" x14ac:dyDescent="0.25">
      <c r="A41" s="26" t="s">
        <v>447</v>
      </c>
      <c r="B41" s="92"/>
      <c r="C41" s="211"/>
      <c r="D41" s="212"/>
      <c r="E41" s="212"/>
      <c r="F41" s="212"/>
      <c r="G41" s="212"/>
      <c r="H41" s="212"/>
      <c r="I41" s="29">
        <f t="shared" si="6"/>
        <v>0</v>
      </c>
      <c r="J41" s="29">
        <f t="shared" si="7"/>
        <v>0</v>
      </c>
      <c r="K41" s="212"/>
      <c r="L41" s="213"/>
    </row>
    <row r="42" spans="1:12" ht="12.75" customHeight="1" x14ac:dyDescent="0.25">
      <c r="A42" s="26" t="s">
        <v>446</v>
      </c>
      <c r="B42" s="92"/>
      <c r="C42" s="211"/>
      <c r="D42" s="212"/>
      <c r="E42" s="212"/>
      <c r="F42" s="212"/>
      <c r="G42" s="212"/>
      <c r="H42" s="212"/>
      <c r="I42" s="29">
        <f t="shared" si="6"/>
        <v>0</v>
      </c>
      <c r="J42" s="29">
        <f t="shared" si="7"/>
        <v>0</v>
      </c>
      <c r="K42" s="212"/>
      <c r="L42" s="213"/>
    </row>
    <row r="43" spans="1:12" ht="12.75" customHeight="1" x14ac:dyDescent="0.25">
      <c r="A43" s="26" t="s">
        <v>441</v>
      </c>
      <c r="B43" s="92">
        <v>1</v>
      </c>
      <c r="C43" s="211"/>
      <c r="D43" s="212"/>
      <c r="E43" s="212"/>
      <c r="F43" s="212"/>
      <c r="G43" s="212"/>
      <c r="H43" s="212"/>
      <c r="I43" s="29">
        <f t="shared" si="6"/>
        <v>0</v>
      </c>
      <c r="J43" s="29">
        <f t="shared" si="7"/>
        <v>0</v>
      </c>
      <c r="K43" s="212"/>
      <c r="L43" s="213"/>
    </row>
    <row r="44" spans="1:12" ht="12.75" customHeight="1" x14ac:dyDescent="0.25">
      <c r="A44" s="58" t="s">
        <v>451</v>
      </c>
      <c r="B44" s="92"/>
      <c r="C44" s="49">
        <f t="shared" ref="C44:L44" si="8">SUM(C34:C42)</f>
        <v>2437355.31</v>
      </c>
      <c r="D44" s="48">
        <f t="shared" si="8"/>
        <v>0</v>
      </c>
      <c r="E44" s="48">
        <f t="shared" si="8"/>
        <v>0</v>
      </c>
      <c r="F44" s="48">
        <f t="shared" si="8"/>
        <v>0</v>
      </c>
      <c r="G44" s="48">
        <f>SUM(G34:G42)</f>
        <v>0</v>
      </c>
      <c r="H44" s="48">
        <f t="shared" si="8"/>
        <v>0</v>
      </c>
      <c r="I44" s="48">
        <f t="shared" si="8"/>
        <v>0</v>
      </c>
      <c r="J44" s="48">
        <f t="shared" si="8"/>
        <v>2437355.31</v>
      </c>
      <c r="K44" s="48">
        <f t="shared" si="8"/>
        <v>4980058.2799999993</v>
      </c>
      <c r="L44" s="86">
        <f t="shared" si="8"/>
        <v>5808301.9000000004</v>
      </c>
    </row>
    <row r="45" spans="1:12" ht="12.75" customHeight="1" x14ac:dyDescent="0.25">
      <c r="A45" s="58" t="s">
        <v>444</v>
      </c>
      <c r="B45" s="92"/>
      <c r="C45" s="354"/>
      <c r="D45" s="361"/>
      <c r="E45" s="361"/>
      <c r="F45" s="361"/>
      <c r="G45" s="361"/>
      <c r="H45" s="361"/>
      <c r="I45" s="361"/>
      <c r="J45" s="355">
        <f>IF(ISERROR((J44-C44)/C44),0,((J44-C44)/C44))</f>
        <v>0</v>
      </c>
      <c r="K45" s="355">
        <f>IF(ISERROR((K44-J44)/J44),0,((K44-J44)/J44))</f>
        <v>1.0432221184854658</v>
      </c>
      <c r="L45" s="356">
        <f>IF(ISERROR((L44-K44)/K44),0,((L44-K44)/K44))</f>
        <v>0.16631203360134195</v>
      </c>
    </row>
    <row r="46" spans="1:12" ht="5.0999999999999996" customHeight="1" x14ac:dyDescent="0.25">
      <c r="A46" s="27"/>
      <c r="B46" s="92"/>
      <c r="C46" s="354"/>
      <c r="D46" s="361"/>
      <c r="E46" s="361"/>
      <c r="F46" s="361"/>
      <c r="G46" s="361"/>
      <c r="H46" s="361"/>
      <c r="I46" s="361"/>
      <c r="J46" s="29"/>
      <c r="K46" s="29"/>
      <c r="L46" s="85"/>
    </row>
    <row r="47" spans="1:12" ht="12.75" customHeight="1" x14ac:dyDescent="0.25">
      <c r="A47" s="34" t="s">
        <v>452</v>
      </c>
      <c r="B47" s="113"/>
      <c r="C47" s="36">
        <f t="shared" ref="C47:L47" si="9">C17+C30+C44</f>
        <v>3783555.39</v>
      </c>
      <c r="D47" s="35">
        <f t="shared" si="9"/>
        <v>0</v>
      </c>
      <c r="E47" s="35">
        <f t="shared" si="9"/>
        <v>0</v>
      </c>
      <c r="F47" s="35">
        <f t="shared" si="9"/>
        <v>664474</v>
      </c>
      <c r="G47" s="35">
        <f>G17+G30+G44</f>
        <v>0</v>
      </c>
      <c r="H47" s="35">
        <f t="shared" si="9"/>
        <v>0</v>
      </c>
      <c r="I47" s="35">
        <f t="shared" si="9"/>
        <v>664474</v>
      </c>
      <c r="J47" s="35">
        <f t="shared" si="9"/>
        <v>4448029.3900000006</v>
      </c>
      <c r="K47" s="35">
        <f t="shared" si="9"/>
        <v>7307895.8399999999</v>
      </c>
      <c r="L47" s="112">
        <f t="shared" si="9"/>
        <v>8233335.3343000002</v>
      </c>
    </row>
    <row r="48" spans="1:12" ht="5.0999999999999996" customHeight="1" x14ac:dyDescent="0.25">
      <c r="A48" s="330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</row>
    <row r="49" spans="1:15" ht="12.75" customHeight="1" x14ac:dyDescent="0.25">
      <c r="A49" s="37" t="str">
        <f>head27a</f>
        <v>References</v>
      </c>
      <c r="B49" s="38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46"/>
      <c r="N49" s="46"/>
      <c r="O49" s="46"/>
    </row>
    <row r="50" spans="1:15" ht="12.75" customHeight="1" x14ac:dyDescent="0.25">
      <c r="A50" s="40" t="s">
        <v>112</v>
      </c>
      <c r="B50" s="38"/>
      <c r="C50" s="61"/>
      <c r="D50" s="46"/>
      <c r="E50" s="46"/>
      <c r="F50" s="46"/>
      <c r="G50" s="46"/>
      <c r="H50" s="46"/>
      <c r="I50" s="46"/>
      <c r="J50" s="46"/>
      <c r="K50" s="46"/>
      <c r="L50" s="46"/>
    </row>
    <row r="51" spans="1:15" ht="12.75" customHeight="1" x14ac:dyDescent="0.25">
      <c r="A51" s="40" t="s">
        <v>71</v>
      </c>
      <c r="B51" s="38"/>
      <c r="C51" s="61"/>
      <c r="D51" s="46"/>
      <c r="E51" s="46"/>
      <c r="F51" s="46"/>
      <c r="G51" s="46"/>
      <c r="H51" s="46"/>
      <c r="I51" s="46"/>
      <c r="J51" s="46"/>
      <c r="K51" s="46"/>
      <c r="L51" s="46"/>
    </row>
    <row r="52" spans="1:15" ht="12.75" customHeight="1" x14ac:dyDescent="0.25">
      <c r="A52" s="53" t="s">
        <v>317</v>
      </c>
      <c r="B52" s="38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5" ht="12.75" customHeight="1" x14ac:dyDescent="0.25">
      <c r="A53" s="53" t="s">
        <v>113</v>
      </c>
      <c r="B53" s="38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5" ht="12.75" customHeight="1" x14ac:dyDescent="0.25">
      <c r="A54" s="53" t="s">
        <v>114</v>
      </c>
      <c r="B54" s="38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5" ht="12.75" customHeight="1" x14ac:dyDescent="0.25">
      <c r="A55" s="53" t="s">
        <v>115</v>
      </c>
      <c r="B55" s="38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5" ht="12.75" customHeight="1" x14ac:dyDescent="0.25">
      <c r="A56" s="53" t="s">
        <v>231</v>
      </c>
      <c r="B56" s="38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5" ht="12.75" customHeight="1" x14ac:dyDescent="0.25">
      <c r="A57" s="156" t="s">
        <v>232</v>
      </c>
      <c r="B57" s="38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5" ht="12.75" customHeight="1" x14ac:dyDescent="0.25">
      <c r="A58" s="156" t="s">
        <v>233</v>
      </c>
      <c r="B58" s="38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5" ht="12.75" customHeight="1" x14ac:dyDescent="0.25">
      <c r="A59" s="53"/>
      <c r="B59" s="38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5" ht="12.75" customHeight="1" x14ac:dyDescent="0.25">
      <c r="A60" s="53"/>
      <c r="B60" s="38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5" ht="12.75" customHeight="1" x14ac:dyDescent="0.25">
      <c r="A61" s="53"/>
      <c r="B61" s="38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3" spans="1:15" x14ac:dyDescent="0.25">
      <c r="B63" s="20"/>
    </row>
    <row r="64" spans="1:15" x14ac:dyDescent="0.25">
      <c r="B64" s="20"/>
    </row>
    <row r="65" spans="2:2" x14ac:dyDescent="0.25">
      <c r="B65" s="20"/>
    </row>
    <row r="66" spans="2:2" x14ac:dyDescent="0.25">
      <c r="B66" s="20"/>
    </row>
    <row r="67" spans="2:2" x14ac:dyDescent="0.25">
      <c r="B67" s="20"/>
    </row>
    <row r="68" spans="2:2" x14ac:dyDescent="0.25">
      <c r="B68" s="20"/>
    </row>
    <row r="69" spans="2:2" x14ac:dyDescent="0.25">
      <c r="B69" s="20"/>
    </row>
    <row r="70" spans="2:2" x14ac:dyDescent="0.25">
      <c r="B70" s="20"/>
    </row>
    <row r="71" spans="2:2" x14ac:dyDescent="0.25">
      <c r="B71" s="20"/>
    </row>
    <row r="72" spans="2:2" x14ac:dyDescent="0.25">
      <c r="B72" s="20"/>
    </row>
    <row r="73" spans="2:2" x14ac:dyDescent="0.25">
      <c r="B73" s="20"/>
    </row>
    <row r="74" spans="2:2" x14ac:dyDescent="0.25">
      <c r="B74" s="20"/>
    </row>
    <row r="75" spans="2:2" x14ac:dyDescent="0.25">
      <c r="B75" s="20"/>
    </row>
    <row r="76" spans="2:2" x14ac:dyDescent="0.25">
      <c r="B76" s="20"/>
    </row>
    <row r="77" spans="2:2" x14ac:dyDescent="0.25">
      <c r="B77" s="20"/>
    </row>
    <row r="78" spans="2:2" x14ac:dyDescent="0.25">
      <c r="B78" s="20"/>
    </row>
    <row r="79" spans="2:2" x14ac:dyDescent="0.25">
      <c r="B79" s="20"/>
    </row>
    <row r="80" spans="2:2" x14ac:dyDescent="0.25">
      <c r="B80" s="20"/>
    </row>
    <row r="81" spans="2:2" x14ac:dyDescent="0.25">
      <c r="B81" s="20"/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/>
    </row>
    <row r="87" spans="2:2" x14ac:dyDescent="0.25">
      <c r="B87" s="20"/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  <row r="94" spans="2:2" x14ac:dyDescent="0.25">
      <c r="B94" s="20"/>
    </row>
    <row r="95" spans="2:2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  <row r="119" spans="2:2" x14ac:dyDescent="0.25">
      <c r="B119" s="20"/>
    </row>
    <row r="120" spans="2:2" x14ac:dyDescent="0.25">
      <c r="B120" s="20"/>
    </row>
    <row r="121" spans="2:2" x14ac:dyDescent="0.25">
      <c r="B121" s="20"/>
    </row>
    <row r="122" spans="2:2" x14ac:dyDescent="0.25">
      <c r="B122" s="20"/>
    </row>
    <row r="123" spans="2:2" x14ac:dyDescent="0.25">
      <c r="B123" s="20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20"/>
    </row>
    <row r="128" spans="2:2" x14ac:dyDescent="0.25">
      <c r="B128" s="20"/>
    </row>
    <row r="129" spans="2:2" x14ac:dyDescent="0.25">
      <c r="B129" s="20"/>
    </row>
    <row r="130" spans="2:2" x14ac:dyDescent="0.25">
      <c r="B130" s="20"/>
    </row>
    <row r="131" spans="2:2" x14ac:dyDescent="0.25">
      <c r="B131" s="20"/>
    </row>
    <row r="132" spans="2:2" x14ac:dyDescent="0.25">
      <c r="B132" s="20"/>
    </row>
    <row r="133" spans="2:2" x14ac:dyDescent="0.25">
      <c r="B133" s="20"/>
    </row>
    <row r="134" spans="2:2" x14ac:dyDescent="0.25">
      <c r="B134" s="20"/>
    </row>
    <row r="135" spans="2:2" x14ac:dyDescent="0.25">
      <c r="B135" s="20"/>
    </row>
    <row r="136" spans="2:2" x14ac:dyDescent="0.25">
      <c r="B136" s="20"/>
    </row>
    <row r="137" spans="2:2" x14ac:dyDescent="0.25">
      <c r="B137" s="20"/>
    </row>
  </sheetData>
  <sheetProtection sheet="1" objects="1" scenarios="1"/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6 K8:L16 C21:H29 K21:L29 C34:H43 K34:L43">
      <formula1>-999999999999</formula1>
      <formula2>999999999999</formula2>
    </dataValidation>
  </dataValidations>
  <printOptions horizontalCentered="1"/>
  <pageMargins left="0.35433070866141736" right="0.15748031496062992" top="0.78740157480314965" bottom="0.59055118110236227" header="0.51181102362204722" footer="0.5118110236220472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4">
    <tabColor rgb="FFC4FCDF"/>
    <pageSetUpPr fitToPage="1"/>
  </sheetPr>
  <dimension ref="A1:Q65"/>
  <sheetViews>
    <sheetView showGridLines="0" workbookViewId="0">
      <pane xSplit="1" ySplit="4" topLeftCell="B26" activePane="bottomRight" state="frozen"/>
      <selection activeCell="F27" sqref="F27"/>
      <selection pane="topRight" activeCell="F27" sqref="F27"/>
      <selection pane="bottomLeft" activeCell="F27" sqref="F27"/>
      <selection pane="bottomRight" activeCell="N27" sqref="N27"/>
    </sheetView>
  </sheetViews>
  <sheetFormatPr defaultRowHeight="12.75" x14ac:dyDescent="0.25"/>
  <cols>
    <col min="1" max="1" width="41.140625" style="20" customWidth="1"/>
    <col min="2" max="2" width="9.28515625" style="20" customWidth="1"/>
    <col min="3" max="16" width="8.7109375" style="20" customWidth="1"/>
    <col min="17" max="16384" width="9.140625" style="20"/>
  </cols>
  <sheetData>
    <row r="1" spans="1:16" ht="13.5" x14ac:dyDescent="0.25">
      <c r="A1" s="89" t="str">
        <f>MEAB9&amp;" - "&amp;Date</f>
        <v>Greater Tzaneen Development Agency - Supporting Table SE5   Adjustments Budget  - monthly cash and revenue/expenditure - 29/02/2016</v>
      </c>
      <c r="C1" s="47"/>
    </row>
    <row r="2" spans="1:16" ht="25.5" x14ac:dyDescent="0.25">
      <c r="A2" s="440" t="str">
        <f>desc</f>
        <v>Description</v>
      </c>
      <c r="B2" s="437" t="str">
        <f>Head9</f>
        <v>Budget Year 2015/16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5"/>
      <c r="N2" s="135" t="s">
        <v>319</v>
      </c>
      <c r="O2" s="136"/>
      <c r="P2" s="137"/>
    </row>
    <row r="3" spans="1:16" ht="38.25" x14ac:dyDescent="0.25">
      <c r="A3" s="441"/>
      <c r="B3" s="140" t="s">
        <v>276</v>
      </c>
      <c r="C3" s="138" t="s">
        <v>368</v>
      </c>
      <c r="D3" s="138" t="s">
        <v>369</v>
      </c>
      <c r="E3" s="138" t="s">
        <v>370</v>
      </c>
      <c r="F3" s="138" t="s">
        <v>371</v>
      </c>
      <c r="G3" s="149" t="s">
        <v>372</v>
      </c>
      <c r="H3" s="150" t="s">
        <v>373</v>
      </c>
      <c r="I3" s="151" t="s">
        <v>374</v>
      </c>
      <c r="J3" s="138" t="s">
        <v>375</v>
      </c>
      <c r="K3" s="138" t="s">
        <v>376</v>
      </c>
      <c r="L3" s="152" t="s">
        <v>377</v>
      </c>
      <c r="M3" s="151" t="s">
        <v>378</v>
      </c>
      <c r="N3" s="150" t="str">
        <f>Head9</f>
        <v>Budget Year 2015/16</v>
      </c>
      <c r="O3" s="151" t="str">
        <f>Head10</f>
        <v>Budget Year +1 2016/17</v>
      </c>
      <c r="P3" s="139" t="str">
        <f>Head11</f>
        <v>Budget Year +2 2017/18</v>
      </c>
    </row>
    <row r="4" spans="1:16" ht="25.5" x14ac:dyDescent="0.25">
      <c r="A4" s="145" t="s">
        <v>193</v>
      </c>
      <c r="B4" s="336" t="str">
        <f t="shared" ref="B4:G4" si="0">Head5A</f>
        <v>Outcome</v>
      </c>
      <c r="C4" s="337" t="str">
        <f t="shared" si="0"/>
        <v>Outcome</v>
      </c>
      <c r="D4" s="337" t="str">
        <f t="shared" si="0"/>
        <v>Outcome</v>
      </c>
      <c r="E4" s="337" t="str">
        <f t="shared" si="0"/>
        <v>Outcome</v>
      </c>
      <c r="F4" s="337" t="str">
        <f t="shared" si="0"/>
        <v>Outcome</v>
      </c>
      <c r="G4" s="338" t="str">
        <f t="shared" si="0"/>
        <v>Outcome</v>
      </c>
      <c r="H4" s="336" t="str">
        <f t="shared" ref="H4:M4" si="1">Head7</f>
        <v>Adjusted Budget</v>
      </c>
      <c r="I4" s="338" t="str">
        <f t="shared" si="1"/>
        <v>Adjusted Budget</v>
      </c>
      <c r="J4" s="337" t="str">
        <f t="shared" si="1"/>
        <v>Adjusted Budget</v>
      </c>
      <c r="K4" s="337" t="str">
        <f t="shared" si="1"/>
        <v>Adjusted Budget</v>
      </c>
      <c r="L4" s="337" t="str">
        <f t="shared" si="1"/>
        <v>Adjusted Budget</v>
      </c>
      <c r="M4" s="338" t="str">
        <f t="shared" si="1"/>
        <v>Adjusted Budget</v>
      </c>
      <c r="N4" s="144" t="str">
        <f>Head7</f>
        <v>Adjusted Budget</v>
      </c>
      <c r="O4" s="142" t="str">
        <f>Head7</f>
        <v>Adjusted Budget</v>
      </c>
      <c r="P4" s="143" t="str">
        <f>Head7</f>
        <v>Adjusted Budget</v>
      </c>
    </row>
    <row r="5" spans="1:16" ht="12.75" customHeight="1" x14ac:dyDescent="0.25">
      <c r="A5" s="23" t="s">
        <v>44</v>
      </c>
      <c r="B5" s="30"/>
      <c r="C5" s="29"/>
      <c r="D5" s="29"/>
      <c r="E5" s="29"/>
      <c r="F5" s="29"/>
      <c r="G5" s="64"/>
      <c r="H5" s="30"/>
      <c r="I5" s="29"/>
      <c r="J5" s="29"/>
      <c r="K5" s="29"/>
      <c r="L5" s="29"/>
      <c r="M5" s="64"/>
      <c r="N5" s="30"/>
      <c r="O5" s="29"/>
      <c r="P5" s="85"/>
    </row>
    <row r="6" spans="1:16" ht="12.75" customHeight="1" x14ac:dyDescent="0.25">
      <c r="A6" s="265" t="s">
        <v>387</v>
      </c>
      <c r="B6" s="211"/>
      <c r="C6" s="212"/>
      <c r="D6" s="212"/>
      <c r="E6" s="212"/>
      <c r="F6" s="212"/>
      <c r="G6" s="237"/>
      <c r="H6" s="211"/>
      <c r="I6" s="212"/>
      <c r="J6" s="212"/>
      <c r="K6" s="212"/>
      <c r="L6" s="212"/>
      <c r="M6" s="324"/>
      <c r="N6" s="321"/>
      <c r="O6" s="322"/>
      <c r="P6" s="323"/>
    </row>
    <row r="7" spans="1:16" ht="12.75" customHeight="1" x14ac:dyDescent="0.25">
      <c r="A7" s="265" t="s">
        <v>418</v>
      </c>
      <c r="B7" s="211"/>
      <c r="C7" s="212"/>
      <c r="D7" s="212"/>
      <c r="E7" s="212"/>
      <c r="F7" s="212"/>
      <c r="G7" s="237"/>
      <c r="H7" s="211"/>
      <c r="I7" s="212"/>
      <c r="J7" s="212"/>
      <c r="K7" s="212"/>
      <c r="L7" s="212"/>
      <c r="M7" s="324"/>
      <c r="N7" s="321"/>
      <c r="O7" s="322"/>
      <c r="P7" s="323"/>
    </row>
    <row r="8" spans="1:16" ht="12.75" customHeight="1" x14ac:dyDescent="0.25">
      <c r="A8" s="265" t="s">
        <v>322</v>
      </c>
      <c r="B8" s="211"/>
      <c r="C8" s="212"/>
      <c r="D8" s="212"/>
      <c r="E8" s="212"/>
      <c r="F8" s="212"/>
      <c r="G8" s="237"/>
      <c r="H8" s="211"/>
      <c r="I8" s="212"/>
      <c r="J8" s="212"/>
      <c r="K8" s="212"/>
      <c r="L8" s="212"/>
      <c r="M8" s="324"/>
      <c r="N8" s="321"/>
      <c r="O8" s="322"/>
      <c r="P8" s="323"/>
    </row>
    <row r="9" spans="1:16" ht="12.75" customHeight="1" x14ac:dyDescent="0.25">
      <c r="A9" s="265" t="s">
        <v>323</v>
      </c>
      <c r="B9" s="211"/>
      <c r="C9" s="212"/>
      <c r="D9" s="212"/>
      <c r="E9" s="212"/>
      <c r="F9" s="212"/>
      <c r="G9" s="237"/>
      <c r="H9" s="211"/>
      <c r="I9" s="212"/>
      <c r="J9" s="212"/>
      <c r="K9" s="212"/>
      <c r="L9" s="212"/>
      <c r="M9" s="324"/>
      <c r="N9" s="321"/>
      <c r="O9" s="322"/>
      <c r="P9" s="323"/>
    </row>
    <row r="10" spans="1:16" ht="12.75" customHeight="1" x14ac:dyDescent="0.25">
      <c r="A10" s="265" t="s">
        <v>324</v>
      </c>
      <c r="B10" s="211"/>
      <c r="C10" s="212"/>
      <c r="D10" s="212"/>
      <c r="E10" s="212"/>
      <c r="F10" s="212"/>
      <c r="G10" s="237"/>
      <c r="H10" s="211"/>
      <c r="I10" s="212"/>
      <c r="J10" s="212"/>
      <c r="K10" s="212"/>
      <c r="L10" s="212"/>
      <c r="M10" s="324"/>
      <c r="N10" s="321"/>
      <c r="O10" s="322"/>
      <c r="P10" s="323"/>
    </row>
    <row r="11" spans="1:16" ht="12.75" customHeight="1" x14ac:dyDescent="0.25">
      <c r="A11" s="265" t="s">
        <v>901</v>
      </c>
      <c r="B11" s="211"/>
      <c r="C11" s="212"/>
      <c r="D11" s="212"/>
      <c r="E11" s="212"/>
      <c r="F11" s="212"/>
      <c r="G11" s="237"/>
      <c r="H11" s="211"/>
      <c r="I11" s="212"/>
      <c r="J11" s="212"/>
      <c r="K11" s="212"/>
      <c r="L11" s="212"/>
      <c r="M11" s="324"/>
      <c r="N11" s="321"/>
      <c r="O11" s="322"/>
      <c r="P11" s="323"/>
    </row>
    <row r="12" spans="1:16" ht="12.75" customHeight="1" x14ac:dyDescent="0.25">
      <c r="A12" s="26" t="s">
        <v>325</v>
      </c>
      <c r="B12" s="211"/>
      <c r="C12" s="212"/>
      <c r="D12" s="212"/>
      <c r="E12" s="212"/>
      <c r="F12" s="212"/>
      <c r="G12" s="237"/>
      <c r="H12" s="211"/>
      <c r="I12" s="212"/>
      <c r="J12" s="212"/>
      <c r="K12" s="212"/>
      <c r="L12" s="212"/>
      <c r="M12" s="324"/>
      <c r="N12" s="321"/>
      <c r="O12" s="322"/>
      <c r="P12" s="323"/>
    </row>
    <row r="13" spans="1:16" ht="12.75" customHeight="1" x14ac:dyDescent="0.25">
      <c r="A13" s="26" t="s">
        <v>420</v>
      </c>
      <c r="B13" s="211"/>
      <c r="C13" s="212"/>
      <c r="D13" s="212"/>
      <c r="E13" s="212"/>
      <c r="F13" s="212"/>
      <c r="G13" s="237"/>
      <c r="H13" s="211"/>
      <c r="I13" s="212"/>
      <c r="J13" s="212"/>
      <c r="K13" s="212"/>
      <c r="L13" s="212"/>
      <c r="M13" s="324"/>
      <c r="N13" s="321"/>
      <c r="O13" s="322"/>
      <c r="P13" s="323"/>
    </row>
    <row r="14" spans="1:16" ht="12.75" customHeight="1" x14ac:dyDescent="0.25">
      <c r="A14" s="26" t="s">
        <v>329</v>
      </c>
      <c r="B14" s="211"/>
      <c r="C14" s="212"/>
      <c r="D14" s="212"/>
      <c r="E14" s="212"/>
      <c r="F14" s="212"/>
      <c r="G14" s="237"/>
      <c r="H14" s="211"/>
      <c r="I14" s="212"/>
      <c r="J14" s="212"/>
      <c r="K14" s="212"/>
      <c r="L14" s="212"/>
      <c r="M14" s="324"/>
      <c r="N14" s="321"/>
      <c r="O14" s="322"/>
      <c r="P14" s="323"/>
    </row>
    <row r="15" spans="1:16" ht="12.75" customHeight="1" x14ac:dyDescent="0.25">
      <c r="A15" s="26" t="s">
        <v>330</v>
      </c>
      <c r="B15" s="211"/>
      <c r="C15" s="212"/>
      <c r="D15" s="212"/>
      <c r="E15" s="212"/>
      <c r="F15" s="212"/>
      <c r="G15" s="237"/>
      <c r="H15" s="211"/>
      <c r="I15" s="212"/>
      <c r="J15" s="212"/>
      <c r="K15" s="212"/>
      <c r="L15" s="212"/>
      <c r="M15" s="324"/>
      <c r="N15" s="321"/>
      <c r="O15" s="322"/>
      <c r="P15" s="323"/>
    </row>
    <row r="16" spans="1:16" ht="12.75" customHeight="1" x14ac:dyDescent="0.25">
      <c r="A16" s="26" t="s">
        <v>381</v>
      </c>
      <c r="B16" s="211"/>
      <c r="C16" s="212"/>
      <c r="D16" s="212"/>
      <c r="E16" s="212"/>
      <c r="F16" s="212"/>
      <c r="G16" s="237"/>
      <c r="H16" s="211"/>
      <c r="I16" s="212"/>
      <c r="J16" s="212"/>
      <c r="K16" s="212"/>
      <c r="L16" s="212"/>
      <c r="M16" s="324"/>
      <c r="N16" s="321"/>
      <c r="O16" s="322"/>
      <c r="P16" s="323"/>
    </row>
    <row r="17" spans="1:16" ht="12.75" customHeight="1" x14ac:dyDescent="0.25">
      <c r="A17" s="26" t="s">
        <v>331</v>
      </c>
      <c r="B17" s="211"/>
      <c r="C17" s="212"/>
      <c r="D17" s="212"/>
      <c r="E17" s="212"/>
      <c r="F17" s="212"/>
      <c r="G17" s="237"/>
      <c r="H17" s="211"/>
      <c r="I17" s="212"/>
      <c r="J17" s="212"/>
      <c r="K17" s="212"/>
      <c r="L17" s="212"/>
      <c r="M17" s="324"/>
      <c r="N17" s="321"/>
      <c r="O17" s="322"/>
      <c r="P17" s="323"/>
    </row>
    <row r="18" spans="1:16" ht="12.75" customHeight="1" x14ac:dyDescent="0.25">
      <c r="A18" s="26" t="s">
        <v>332</v>
      </c>
      <c r="B18" s="211"/>
      <c r="C18" s="212"/>
      <c r="D18" s="212"/>
      <c r="E18" s="212"/>
      <c r="F18" s="212"/>
      <c r="G18" s="237"/>
      <c r="H18" s="211"/>
      <c r="I18" s="212"/>
      <c r="J18" s="212"/>
      <c r="K18" s="212"/>
      <c r="L18" s="212"/>
      <c r="M18" s="324"/>
      <c r="N18" s="321"/>
      <c r="O18" s="322"/>
      <c r="P18" s="323"/>
    </row>
    <row r="19" spans="1:16" ht="12.75" customHeight="1" x14ac:dyDescent="0.25">
      <c r="A19" s="26" t="s">
        <v>116</v>
      </c>
      <c r="B19" s="211"/>
      <c r="C19" s="212"/>
      <c r="D19" s="212"/>
      <c r="E19" s="212"/>
      <c r="F19" s="212"/>
      <c r="G19" s="237"/>
      <c r="H19" s="211"/>
      <c r="I19" s="212"/>
      <c r="J19" s="212"/>
      <c r="K19" s="212"/>
      <c r="L19" s="212"/>
      <c r="M19" s="324"/>
      <c r="N19" s="321"/>
      <c r="O19" s="322"/>
      <c r="P19" s="323"/>
    </row>
    <row r="20" spans="1:16" ht="12.75" customHeight="1" x14ac:dyDescent="0.25">
      <c r="A20" s="26" t="s">
        <v>895</v>
      </c>
      <c r="B20" s="211"/>
      <c r="C20" s="212"/>
      <c r="D20" s="212"/>
      <c r="E20" s="212"/>
      <c r="F20" s="212"/>
      <c r="G20" s="237"/>
      <c r="H20" s="211"/>
      <c r="I20" s="212"/>
      <c r="J20" s="212"/>
      <c r="K20" s="212"/>
      <c r="L20" s="212"/>
      <c r="M20" s="324"/>
      <c r="N20" s="321"/>
      <c r="O20" s="322"/>
      <c r="P20" s="323"/>
    </row>
    <row r="21" spans="1:16" ht="12.75" customHeight="1" x14ac:dyDescent="0.25">
      <c r="A21" s="26" t="s">
        <v>17</v>
      </c>
      <c r="B21" s="211">
        <f>300000+3179.78</f>
        <v>303179.78000000003</v>
      </c>
      <c r="C21" s="212">
        <f>395000+1594.82</f>
        <v>396594.82</v>
      </c>
      <c r="D21" s="212">
        <f>190000+32.36</f>
        <v>190032.36</v>
      </c>
      <c r="E21" s="212">
        <v>1168080</v>
      </c>
      <c r="F21" s="212">
        <v>5409.49</v>
      </c>
      <c r="G21" s="212">
        <f>3814.12</f>
        <v>3814.12</v>
      </c>
      <c r="H21" s="212">
        <f>1140000+555.17+15.52</f>
        <v>1140570.69</v>
      </c>
      <c r="I21" s="212">
        <v>500000</v>
      </c>
      <c r="J21" s="212">
        <v>195000</v>
      </c>
      <c r="K21" s="212"/>
      <c r="L21" s="212"/>
      <c r="M21" s="324"/>
      <c r="N21" s="321"/>
      <c r="O21" s="322"/>
      <c r="P21" s="323"/>
    </row>
    <row r="22" spans="1:16" ht="12.75" customHeight="1" x14ac:dyDescent="0.25">
      <c r="A22" s="26" t="s">
        <v>333</v>
      </c>
      <c r="B22" s="211"/>
      <c r="C22" s="212"/>
      <c r="D22" s="212"/>
      <c r="E22" s="212"/>
      <c r="F22" s="212"/>
      <c r="G22" s="237"/>
      <c r="H22" s="211"/>
      <c r="I22" s="212"/>
      <c r="J22" s="212"/>
      <c r="K22" s="212"/>
      <c r="L22" s="212"/>
      <c r="M22" s="324"/>
      <c r="N22" s="321"/>
      <c r="O22" s="322"/>
      <c r="P22" s="323"/>
    </row>
    <row r="23" spans="1:16" ht="12.75" customHeight="1" x14ac:dyDescent="0.25">
      <c r="A23" s="59" t="s">
        <v>529</v>
      </c>
      <c r="B23" s="49">
        <f t="shared" ref="B23:P23" si="2">SUM(B6:B22)</f>
        <v>303179.78000000003</v>
      </c>
      <c r="C23" s="49">
        <f t="shared" si="2"/>
        <v>396594.82</v>
      </c>
      <c r="D23" s="49">
        <f t="shared" si="2"/>
        <v>190032.36</v>
      </c>
      <c r="E23" s="49">
        <f t="shared" si="2"/>
        <v>1168080</v>
      </c>
      <c r="F23" s="49">
        <f t="shared" si="2"/>
        <v>5409.49</v>
      </c>
      <c r="G23" s="49">
        <f t="shared" si="2"/>
        <v>3814.12</v>
      </c>
      <c r="H23" s="49">
        <f t="shared" si="2"/>
        <v>1140570.69</v>
      </c>
      <c r="I23" s="49">
        <f t="shared" si="2"/>
        <v>500000</v>
      </c>
      <c r="J23" s="49">
        <f t="shared" si="2"/>
        <v>195000</v>
      </c>
      <c r="K23" s="49">
        <f t="shared" si="2"/>
        <v>0</v>
      </c>
      <c r="L23" s="49">
        <f t="shared" si="2"/>
        <v>0</v>
      </c>
      <c r="M23" s="49">
        <f t="shared" si="2"/>
        <v>0</v>
      </c>
      <c r="N23" s="49">
        <f t="shared" si="2"/>
        <v>0</v>
      </c>
      <c r="O23" s="49">
        <f t="shared" si="2"/>
        <v>0</v>
      </c>
      <c r="P23" s="49">
        <f t="shared" si="2"/>
        <v>0</v>
      </c>
    </row>
    <row r="24" spans="1:16" ht="5.0999999999999996" customHeight="1" x14ac:dyDescent="0.25">
      <c r="A24" s="58"/>
      <c r="B24" s="30"/>
      <c r="C24" s="29"/>
      <c r="D24" s="29"/>
      <c r="E24" s="29"/>
      <c r="F24" s="29"/>
      <c r="G24" s="64"/>
      <c r="H24" s="30"/>
      <c r="I24" s="29"/>
      <c r="J24" s="29"/>
      <c r="K24" s="29"/>
      <c r="L24" s="29"/>
      <c r="M24" s="64"/>
      <c r="N24" s="30"/>
      <c r="O24" s="29"/>
      <c r="P24" s="85"/>
    </row>
    <row r="25" spans="1:16" ht="12.75" customHeight="1" x14ac:dyDescent="0.25">
      <c r="A25" s="23" t="s">
        <v>45</v>
      </c>
      <c r="B25" s="30"/>
      <c r="C25" s="29"/>
      <c r="D25" s="29"/>
      <c r="E25" s="29"/>
      <c r="F25" s="29"/>
      <c r="G25" s="64"/>
      <c r="H25" s="30"/>
      <c r="I25" s="29"/>
      <c r="J25" s="29"/>
      <c r="K25" s="29"/>
      <c r="L25" s="29"/>
      <c r="M25" s="64"/>
      <c r="N25" s="30"/>
      <c r="O25" s="29"/>
      <c r="P25" s="85"/>
    </row>
    <row r="26" spans="1:16" ht="12.75" customHeight="1" x14ac:dyDescent="0.25">
      <c r="A26" s="26" t="s">
        <v>334</v>
      </c>
      <c r="B26" s="212">
        <f>193379.73+149050.39+2023.62</f>
        <v>344453.74</v>
      </c>
      <c r="C26" s="212">
        <f>187453.05+43861.76+17714.18+42573.54</f>
        <v>291602.52999999997</v>
      </c>
      <c r="D26" s="212">
        <v>179797.6</v>
      </c>
      <c r="E26" s="212">
        <f>147192.11+8100.54+146084</f>
        <v>301376.65000000002</v>
      </c>
      <c r="F26" s="212">
        <f>148753.42+40952.13+2327.99</f>
        <v>192033.54</v>
      </c>
      <c r="G26" s="212">
        <f>143658.92+42562.76</f>
        <v>186221.68000000002</v>
      </c>
      <c r="H26" s="212">
        <f>140669.39+697.36+41704.62</f>
        <v>183071.37</v>
      </c>
      <c r="I26" s="211">
        <v>300000</v>
      </c>
      <c r="J26" s="211">
        <v>300000</v>
      </c>
      <c r="K26" s="211">
        <v>300000</v>
      </c>
      <c r="L26" s="211">
        <v>300000</v>
      </c>
      <c r="M26" s="324"/>
      <c r="N26" s="321"/>
      <c r="O26" s="322"/>
      <c r="P26" s="323"/>
    </row>
    <row r="27" spans="1:16" ht="12.75" customHeight="1" x14ac:dyDescent="0.25">
      <c r="A27" s="26" t="s">
        <v>0</v>
      </c>
      <c r="B27" s="212">
        <f>2890+8025.53+12553.07+20250+3375+24025</f>
        <v>71118.600000000006</v>
      </c>
      <c r="C27" s="212">
        <f>16850+23278.96+4698.25+44775+10125</f>
        <v>99727.209999999992</v>
      </c>
      <c r="D27" s="212">
        <v>8271.6</v>
      </c>
      <c r="E27" s="212">
        <f>1026.32+13089.49</f>
        <v>14115.81</v>
      </c>
      <c r="F27" s="212">
        <f>3264+419.9+4102.99+15442.18+16320</f>
        <v>39549.07</v>
      </c>
      <c r="G27" s="212">
        <f>23138.45+2745.79+90718.6+5440</f>
        <v>122042.84000000001</v>
      </c>
      <c r="H27" s="212">
        <f>26844+747.6+3264</f>
        <v>30855.599999999999</v>
      </c>
      <c r="I27" s="211">
        <v>25000</v>
      </c>
      <c r="J27" s="211">
        <v>76000</v>
      </c>
      <c r="K27" s="212">
        <v>25000</v>
      </c>
      <c r="L27" s="212">
        <v>76000</v>
      </c>
      <c r="M27" s="324"/>
      <c r="N27" s="321"/>
      <c r="O27" s="322"/>
      <c r="P27" s="323"/>
    </row>
    <row r="28" spans="1:16" ht="12.75" customHeight="1" x14ac:dyDescent="0.25">
      <c r="A28" s="26" t="s">
        <v>139</v>
      </c>
      <c r="B28" s="212"/>
      <c r="C28" s="212"/>
      <c r="D28" s="212"/>
      <c r="E28" s="212"/>
      <c r="F28" s="212"/>
      <c r="G28" s="212"/>
      <c r="H28" s="211"/>
      <c r="I28" s="212"/>
      <c r="J28" s="212"/>
      <c r="K28" s="212"/>
      <c r="L28" s="212"/>
      <c r="M28" s="324"/>
      <c r="N28" s="321"/>
      <c r="O28" s="322"/>
      <c r="P28" s="323"/>
    </row>
    <row r="29" spans="1:16" ht="12.75" customHeight="1" x14ac:dyDescent="0.25">
      <c r="A29" s="26" t="s">
        <v>187</v>
      </c>
      <c r="B29" s="212"/>
      <c r="C29" s="212"/>
      <c r="D29" s="212"/>
      <c r="E29" s="212"/>
      <c r="F29" s="212"/>
      <c r="G29" s="212"/>
      <c r="H29" s="211"/>
      <c r="I29" s="212"/>
      <c r="J29" s="212"/>
      <c r="K29" s="212"/>
      <c r="L29" s="212"/>
      <c r="M29" s="324"/>
      <c r="N29" s="321"/>
      <c r="O29" s="322"/>
      <c r="P29" s="323"/>
    </row>
    <row r="30" spans="1:16" ht="12.75" customHeight="1" x14ac:dyDescent="0.25">
      <c r="A30" s="26" t="s">
        <v>16</v>
      </c>
      <c r="B30" s="212"/>
      <c r="C30" s="212"/>
      <c r="D30" s="212"/>
      <c r="E30" s="212">
        <v>644.70000000000005</v>
      </c>
      <c r="F30" s="212">
        <f>0</f>
        <v>0</v>
      </c>
      <c r="G30" s="212"/>
      <c r="H30" s="211"/>
      <c r="I30" s="212"/>
      <c r="J30" s="212"/>
      <c r="K30" s="212"/>
      <c r="L30" s="212"/>
      <c r="M30" s="324"/>
      <c r="N30" s="321"/>
      <c r="O30" s="322"/>
      <c r="P30" s="323"/>
    </row>
    <row r="31" spans="1:16" ht="12.75" customHeight="1" x14ac:dyDescent="0.25">
      <c r="A31" s="26" t="s">
        <v>349</v>
      </c>
      <c r="B31" s="212">
        <v>0</v>
      </c>
      <c r="C31" s="212">
        <v>5942.35</v>
      </c>
      <c r="D31" s="212">
        <v>496.5</v>
      </c>
      <c r="E31" s="212">
        <v>0</v>
      </c>
      <c r="F31" s="212">
        <f>0</f>
        <v>0</v>
      </c>
      <c r="G31" s="212">
        <f>0</f>
        <v>0</v>
      </c>
      <c r="H31" s="211"/>
      <c r="I31" s="212"/>
      <c r="J31" s="212"/>
      <c r="K31" s="212"/>
      <c r="L31" s="212"/>
      <c r="M31" s="324"/>
      <c r="N31" s="321"/>
      <c r="O31" s="322"/>
      <c r="P31" s="323"/>
    </row>
    <row r="32" spans="1:16" ht="12.75" customHeight="1" x14ac:dyDescent="0.25">
      <c r="A32" s="26" t="s">
        <v>572</v>
      </c>
      <c r="B32" s="212"/>
      <c r="C32" s="212"/>
      <c r="D32" s="212"/>
      <c r="E32" s="212"/>
      <c r="F32" s="212"/>
      <c r="G32" s="212"/>
      <c r="H32" s="211"/>
      <c r="I32" s="212"/>
      <c r="J32" s="212"/>
      <c r="K32" s="212"/>
      <c r="L32" s="212"/>
      <c r="M32" s="324"/>
      <c r="N32" s="321"/>
      <c r="O32" s="322"/>
      <c r="P32" s="323"/>
    </row>
    <row r="33" spans="1:16" ht="12.75" customHeight="1" x14ac:dyDescent="0.25">
      <c r="A33" s="26" t="s">
        <v>379</v>
      </c>
      <c r="B33" s="212"/>
      <c r="C33" s="212"/>
      <c r="D33" s="212"/>
      <c r="E33" s="212"/>
      <c r="F33" s="212"/>
      <c r="G33" s="212"/>
      <c r="H33" s="211"/>
      <c r="I33" s="212"/>
      <c r="J33" s="212"/>
      <c r="K33" s="212"/>
      <c r="L33" s="212"/>
      <c r="M33" s="324"/>
      <c r="N33" s="321"/>
      <c r="O33" s="322"/>
      <c r="P33" s="323"/>
    </row>
    <row r="34" spans="1:16" ht="12.75" customHeight="1" x14ac:dyDescent="0.25">
      <c r="A34" s="26" t="s">
        <v>336</v>
      </c>
      <c r="B34" s="212">
        <f>4331+333.33+37810.73</f>
        <v>42475.060000000005</v>
      </c>
      <c r="C34" s="212">
        <f>19581.54+3035.18+10521.64</f>
        <v>33138.36</v>
      </c>
      <c r="D34" s="212">
        <f>11936.77</f>
        <v>11936.77</v>
      </c>
      <c r="E34" s="212">
        <f>21526.05+333.33+1640.35</f>
        <v>23499.73</v>
      </c>
      <c r="F34" s="212">
        <f>429.82</f>
        <v>429.82</v>
      </c>
      <c r="G34" s="212">
        <f>43052.11+333.33+1640.35</f>
        <v>45025.79</v>
      </c>
      <c r="H34" s="212">
        <v>1000</v>
      </c>
      <c r="I34" s="212">
        <v>47000</v>
      </c>
      <c r="J34" s="212">
        <v>49741.23</v>
      </c>
      <c r="K34" s="212">
        <v>48085.43</v>
      </c>
      <c r="L34" s="212">
        <v>60000</v>
      </c>
      <c r="M34" s="324"/>
      <c r="N34" s="321"/>
      <c r="O34" s="322"/>
      <c r="P34" s="323"/>
    </row>
    <row r="35" spans="1:16" ht="12.75" customHeight="1" x14ac:dyDescent="0.25">
      <c r="A35" s="26" t="s">
        <v>530</v>
      </c>
      <c r="B35" s="212"/>
      <c r="C35" s="212"/>
      <c r="D35" s="212"/>
      <c r="E35" s="212"/>
      <c r="F35" s="212"/>
      <c r="G35" s="212"/>
      <c r="H35" s="211"/>
      <c r="I35" s="212"/>
      <c r="J35" s="212"/>
      <c r="K35" s="212"/>
      <c r="L35" s="212"/>
      <c r="M35" s="324"/>
      <c r="N35" s="321"/>
      <c r="O35" s="322"/>
      <c r="P35" s="323"/>
    </row>
    <row r="36" spans="1:16" ht="12.75" customHeight="1" x14ac:dyDescent="0.25">
      <c r="A36" s="26" t="s">
        <v>2</v>
      </c>
      <c r="B36" s="212">
        <f>509+882.65+2662.44+4197+11950.51+1200+2685.38+6753.6+2061.4+5457.39+64879.83</f>
        <v>103239.20000000001</v>
      </c>
      <c r="C36" s="212">
        <f>6750+30000+437.5+882.65+4694.9+700+6285.3+6809.83+5252.93+2369.88+76923.02</f>
        <v>141106.01</v>
      </c>
      <c r="D36" s="212">
        <f>76381.22</f>
        <v>76381.22</v>
      </c>
      <c r="E36" s="212">
        <f>1332.66+4979.44+2726.32+6868.9+2498.25+14517.89+30073.2</f>
        <v>62996.66</v>
      </c>
      <c r="F36" s="212">
        <f>311.7+114532.87+1332.66+5853.68+400+4235.39+8287.88+4197.78+2429.6</f>
        <v>141581.56</v>
      </c>
      <c r="G36" s="212">
        <f>325.85+22957.6+43.49+1332.66+5799.08+2736.9+6882.46+300+2100.3+17102.02+614.04+15844.6+7152.59</f>
        <v>83191.59</v>
      </c>
      <c r="H36" s="212">
        <f>333.5+1332.66+19548.06+937.1+813.24</f>
        <v>22964.560000000001</v>
      </c>
      <c r="I36" s="212">
        <v>160000</v>
      </c>
      <c r="J36" s="212">
        <v>175000</v>
      </c>
      <c r="K36" s="212">
        <v>155000</v>
      </c>
      <c r="L36" s="212">
        <v>160000</v>
      </c>
      <c r="M36" s="324"/>
      <c r="N36" s="321"/>
      <c r="O36" s="322"/>
      <c r="P36" s="323"/>
    </row>
    <row r="37" spans="1:16" ht="12.75" customHeight="1" x14ac:dyDescent="0.25">
      <c r="A37" s="26" t="s">
        <v>105</v>
      </c>
      <c r="B37" s="211"/>
      <c r="C37" s="212"/>
      <c r="D37" s="212"/>
      <c r="E37" s="212"/>
      <c r="F37" s="212"/>
      <c r="G37" s="237"/>
      <c r="H37" s="211"/>
      <c r="I37" s="212"/>
      <c r="J37" s="212"/>
      <c r="K37" s="212"/>
      <c r="L37" s="212"/>
      <c r="M37" s="324"/>
      <c r="N37" s="321"/>
      <c r="O37" s="322"/>
      <c r="P37" s="323"/>
    </row>
    <row r="38" spans="1:16" ht="12.75" customHeight="1" x14ac:dyDescent="0.25">
      <c r="A38" s="59" t="s">
        <v>46</v>
      </c>
      <c r="B38" s="49">
        <f t="shared" ref="B38:P38" si="3">SUM(B26:B37)</f>
        <v>561286.6</v>
      </c>
      <c r="C38" s="48">
        <f t="shared" si="3"/>
        <v>571516.46</v>
      </c>
      <c r="D38" s="48">
        <f t="shared" si="3"/>
        <v>276883.69</v>
      </c>
      <c r="E38" s="48">
        <f t="shared" si="3"/>
        <v>402633.55000000005</v>
      </c>
      <c r="F38" s="48">
        <f t="shared" si="3"/>
        <v>373593.99</v>
      </c>
      <c r="G38" s="127">
        <f t="shared" si="3"/>
        <v>436481.9</v>
      </c>
      <c r="H38" s="49">
        <f t="shared" si="3"/>
        <v>237891.53</v>
      </c>
      <c r="I38" s="48">
        <f t="shared" si="3"/>
        <v>532000</v>
      </c>
      <c r="J38" s="48">
        <f t="shared" si="3"/>
        <v>600741.23</v>
      </c>
      <c r="K38" s="48">
        <f t="shared" si="3"/>
        <v>528085.42999999993</v>
      </c>
      <c r="L38" s="48">
        <f t="shared" si="3"/>
        <v>596000</v>
      </c>
      <c r="M38" s="127">
        <f t="shared" si="3"/>
        <v>0</v>
      </c>
      <c r="N38" s="49">
        <f t="shared" si="3"/>
        <v>0</v>
      </c>
      <c r="O38" s="48">
        <f t="shared" si="3"/>
        <v>0</v>
      </c>
      <c r="P38" s="86">
        <f t="shared" si="3"/>
        <v>0</v>
      </c>
    </row>
    <row r="39" spans="1:16" ht="5.0999999999999996" customHeight="1" x14ac:dyDescent="0.25">
      <c r="A39" s="27"/>
      <c r="B39" s="30"/>
      <c r="C39" s="29"/>
      <c r="D39" s="29"/>
      <c r="E39" s="29"/>
      <c r="F39" s="29"/>
      <c r="G39" s="64"/>
      <c r="H39" s="30"/>
      <c r="I39" s="29"/>
      <c r="J39" s="29"/>
      <c r="K39" s="29"/>
      <c r="L39" s="29"/>
      <c r="M39" s="64"/>
      <c r="N39" s="30"/>
      <c r="O39" s="29"/>
      <c r="P39" s="85"/>
    </row>
    <row r="40" spans="1:16" ht="12.75" customHeight="1" x14ac:dyDescent="0.25">
      <c r="A40" s="23" t="s">
        <v>117</v>
      </c>
      <c r="B40" s="30"/>
      <c r="C40" s="29"/>
      <c r="D40" s="29"/>
      <c r="E40" s="29"/>
      <c r="F40" s="29"/>
      <c r="G40" s="64"/>
      <c r="H40" s="30"/>
      <c r="I40" s="29"/>
      <c r="J40" s="29"/>
      <c r="K40" s="29"/>
      <c r="L40" s="29"/>
      <c r="M40" s="64"/>
      <c r="N40" s="30"/>
      <c r="O40" s="29"/>
      <c r="P40" s="85"/>
    </row>
    <row r="41" spans="1:16" ht="12.75" customHeight="1" x14ac:dyDescent="0.25">
      <c r="A41" s="314" t="s">
        <v>211</v>
      </c>
      <c r="B41" s="211"/>
      <c r="C41" s="212"/>
      <c r="D41" s="212"/>
      <c r="E41" s="212"/>
      <c r="F41" s="212"/>
      <c r="G41" s="237"/>
      <c r="H41" s="211"/>
      <c r="I41" s="212"/>
      <c r="J41" s="212"/>
      <c r="K41" s="212"/>
      <c r="L41" s="212"/>
      <c r="M41" s="324"/>
      <c r="N41" s="321"/>
      <c r="O41" s="322"/>
      <c r="P41" s="323"/>
    </row>
    <row r="42" spans="1:16" ht="12.75" customHeight="1" x14ac:dyDescent="0.25">
      <c r="A42" s="59" t="s">
        <v>137</v>
      </c>
      <c r="B42" s="49">
        <f t="shared" ref="B42:P42" si="4">SUM(B41:B41)</f>
        <v>0</v>
      </c>
      <c r="C42" s="48">
        <f t="shared" si="4"/>
        <v>0</v>
      </c>
      <c r="D42" s="48">
        <f t="shared" si="4"/>
        <v>0</v>
      </c>
      <c r="E42" s="48">
        <f t="shared" si="4"/>
        <v>0</v>
      </c>
      <c r="F42" s="48">
        <f t="shared" si="4"/>
        <v>0</v>
      </c>
      <c r="G42" s="127">
        <f t="shared" si="4"/>
        <v>0</v>
      </c>
      <c r="H42" s="49">
        <f t="shared" si="4"/>
        <v>0</v>
      </c>
      <c r="I42" s="48">
        <f t="shared" si="4"/>
        <v>0</v>
      </c>
      <c r="J42" s="48">
        <f t="shared" si="4"/>
        <v>0</v>
      </c>
      <c r="K42" s="48">
        <f t="shared" si="4"/>
        <v>0</v>
      </c>
      <c r="L42" s="48">
        <f t="shared" si="4"/>
        <v>0</v>
      </c>
      <c r="M42" s="127">
        <f t="shared" si="4"/>
        <v>0</v>
      </c>
      <c r="N42" s="49">
        <f t="shared" si="4"/>
        <v>0</v>
      </c>
      <c r="O42" s="48">
        <f t="shared" si="4"/>
        <v>0</v>
      </c>
      <c r="P42" s="86">
        <f t="shared" si="4"/>
        <v>0</v>
      </c>
    </row>
    <row r="43" spans="1:16" ht="5.0999999999999996" customHeight="1" x14ac:dyDescent="0.25">
      <c r="A43" s="27"/>
      <c r="B43" s="30"/>
      <c r="C43" s="29"/>
      <c r="D43" s="29"/>
      <c r="E43" s="29"/>
      <c r="F43" s="29"/>
      <c r="G43" s="64"/>
      <c r="H43" s="30"/>
      <c r="I43" s="29"/>
      <c r="J43" s="29"/>
      <c r="K43" s="29"/>
      <c r="L43" s="29"/>
      <c r="M43" s="64"/>
      <c r="N43" s="30"/>
      <c r="O43" s="29"/>
      <c r="P43" s="85"/>
    </row>
    <row r="44" spans="1:16" ht="12.75" customHeight="1" x14ac:dyDescent="0.25">
      <c r="A44" s="23" t="s">
        <v>287</v>
      </c>
      <c r="B44" s="30"/>
      <c r="C44" s="29"/>
      <c r="D44" s="29"/>
      <c r="E44" s="29"/>
      <c r="F44" s="29"/>
      <c r="G44" s="64"/>
      <c r="H44" s="30"/>
      <c r="I44" s="29"/>
      <c r="J44" s="29"/>
      <c r="K44" s="29"/>
      <c r="L44" s="29"/>
      <c r="M44" s="64"/>
      <c r="N44" s="30"/>
      <c r="O44" s="29"/>
      <c r="P44" s="85"/>
    </row>
    <row r="45" spans="1:16" s="266" customFormat="1" ht="12.75" customHeight="1" x14ac:dyDescent="0.25">
      <c r="A45" s="57" t="s">
        <v>935</v>
      </c>
      <c r="B45" s="211"/>
      <c r="C45" s="212"/>
      <c r="D45" s="212"/>
      <c r="E45" s="212"/>
      <c r="F45" s="212"/>
      <c r="G45" s="237"/>
      <c r="H45" s="211"/>
      <c r="I45" s="212"/>
      <c r="J45" s="212"/>
      <c r="K45" s="212"/>
      <c r="L45" s="212"/>
      <c r="M45" s="324"/>
      <c r="N45" s="321"/>
      <c r="O45" s="322"/>
      <c r="P45" s="323"/>
    </row>
    <row r="46" spans="1:16" s="266" customFormat="1" ht="12.75" customHeight="1" x14ac:dyDescent="0.25">
      <c r="A46" s="57" t="s">
        <v>419</v>
      </c>
      <c r="B46" s="211"/>
      <c r="C46" s="212"/>
      <c r="D46" s="212"/>
      <c r="E46" s="212"/>
      <c r="F46" s="212"/>
      <c r="G46" s="237"/>
      <c r="H46" s="211"/>
      <c r="I46" s="212"/>
      <c r="J46" s="212"/>
      <c r="K46" s="212"/>
      <c r="L46" s="212"/>
      <c r="M46" s="324"/>
      <c r="N46" s="321"/>
      <c r="O46" s="322"/>
      <c r="P46" s="323"/>
    </row>
    <row r="47" spans="1:16" s="266" customFormat="1" ht="12.75" customHeight="1" x14ac:dyDescent="0.25">
      <c r="A47" s="57" t="s">
        <v>17</v>
      </c>
      <c r="B47" s="211"/>
      <c r="C47" s="212"/>
      <c r="D47" s="212"/>
      <c r="E47" s="212"/>
      <c r="F47" s="212"/>
      <c r="G47" s="237"/>
      <c r="H47" s="211"/>
      <c r="I47" s="212"/>
      <c r="J47" s="212"/>
      <c r="K47" s="212"/>
      <c r="L47" s="212"/>
      <c r="M47" s="324"/>
      <c r="N47" s="321"/>
      <c r="O47" s="322"/>
      <c r="P47" s="323"/>
    </row>
    <row r="48" spans="1:16" s="266" customFormat="1" ht="12.75" customHeight="1" x14ac:dyDescent="0.25">
      <c r="A48" s="57" t="s">
        <v>207</v>
      </c>
      <c r="B48" s="211"/>
      <c r="C48" s="212"/>
      <c r="D48" s="212"/>
      <c r="E48" s="212"/>
      <c r="F48" s="212"/>
      <c r="G48" s="237"/>
      <c r="H48" s="211"/>
      <c r="I48" s="212"/>
      <c r="J48" s="212"/>
      <c r="K48" s="212"/>
      <c r="L48" s="212"/>
      <c r="M48" s="324"/>
      <c r="N48" s="321"/>
      <c r="O48" s="322"/>
      <c r="P48" s="323"/>
    </row>
    <row r="49" spans="1:17" s="266" customFormat="1" ht="12.75" customHeight="1" x14ac:dyDescent="0.25">
      <c r="A49" s="57" t="s">
        <v>347</v>
      </c>
      <c r="B49" s="211"/>
      <c r="C49" s="212"/>
      <c r="D49" s="212"/>
      <c r="E49" s="212"/>
      <c r="F49" s="212"/>
      <c r="G49" s="237"/>
      <c r="H49" s="211"/>
      <c r="I49" s="212"/>
      <c r="J49" s="212"/>
      <c r="K49" s="212"/>
      <c r="L49" s="212"/>
      <c r="M49" s="324"/>
      <c r="N49" s="321"/>
      <c r="O49" s="322"/>
      <c r="P49" s="323"/>
    </row>
    <row r="50" spans="1:17" s="266" customFormat="1" ht="12.75" customHeight="1" x14ac:dyDescent="0.25">
      <c r="A50" s="57" t="s">
        <v>537</v>
      </c>
      <c r="B50" s="211"/>
      <c r="C50" s="212"/>
      <c r="D50" s="212"/>
      <c r="E50" s="212"/>
      <c r="F50" s="212"/>
      <c r="G50" s="237"/>
      <c r="H50" s="211"/>
      <c r="I50" s="212"/>
      <c r="J50" s="212"/>
      <c r="K50" s="212"/>
      <c r="L50" s="212"/>
      <c r="M50" s="324"/>
      <c r="N50" s="321"/>
      <c r="O50" s="322"/>
      <c r="P50" s="323"/>
    </row>
    <row r="51" spans="1:17" s="266" customFormat="1" ht="12.75" customHeight="1" x14ac:dyDescent="0.25">
      <c r="A51" s="57" t="s">
        <v>16</v>
      </c>
      <c r="B51" s="211"/>
      <c r="C51" s="212"/>
      <c r="D51" s="212"/>
      <c r="E51" s="212"/>
      <c r="F51" s="212"/>
      <c r="G51" s="237"/>
      <c r="H51" s="211"/>
      <c r="I51" s="212"/>
      <c r="J51" s="212"/>
      <c r="K51" s="212"/>
      <c r="L51" s="212"/>
      <c r="M51" s="324"/>
      <c r="N51" s="321"/>
      <c r="O51" s="322"/>
      <c r="P51" s="323"/>
    </row>
    <row r="52" spans="1:17" s="266" customFormat="1" ht="12.75" customHeight="1" x14ac:dyDescent="0.25">
      <c r="A52" s="57" t="s">
        <v>349</v>
      </c>
      <c r="B52" s="211"/>
      <c r="C52" s="212"/>
      <c r="D52" s="212"/>
      <c r="E52" s="212"/>
      <c r="F52" s="212"/>
      <c r="G52" s="237"/>
      <c r="H52" s="211"/>
      <c r="I52" s="212"/>
      <c r="J52" s="212"/>
      <c r="K52" s="212"/>
      <c r="L52" s="212"/>
      <c r="M52" s="324"/>
      <c r="N52" s="321"/>
      <c r="O52" s="322"/>
      <c r="P52" s="323"/>
    </row>
    <row r="53" spans="1:17" ht="12.75" customHeight="1" x14ac:dyDescent="0.25">
      <c r="A53" s="59" t="s">
        <v>352</v>
      </c>
      <c r="B53" s="49">
        <f t="shared" ref="B53:M53" si="5">SUM(B45:B52)</f>
        <v>0</v>
      </c>
      <c r="C53" s="48">
        <f t="shared" si="5"/>
        <v>0</v>
      </c>
      <c r="D53" s="48">
        <f t="shared" si="5"/>
        <v>0</v>
      </c>
      <c r="E53" s="48">
        <f t="shared" si="5"/>
        <v>0</v>
      </c>
      <c r="F53" s="48">
        <f t="shared" si="5"/>
        <v>0</v>
      </c>
      <c r="G53" s="127">
        <f t="shared" si="5"/>
        <v>0</v>
      </c>
      <c r="H53" s="49">
        <f t="shared" si="5"/>
        <v>0</v>
      </c>
      <c r="I53" s="48">
        <f t="shared" si="5"/>
        <v>0</v>
      </c>
      <c r="J53" s="48">
        <f t="shared" si="5"/>
        <v>0</v>
      </c>
      <c r="K53" s="48">
        <f t="shared" si="5"/>
        <v>0</v>
      </c>
      <c r="L53" s="48">
        <f t="shared" si="5"/>
        <v>0</v>
      </c>
      <c r="M53" s="127">
        <f t="shared" si="5"/>
        <v>0</v>
      </c>
      <c r="N53" s="49">
        <f>SUM(N45:N52)</f>
        <v>0</v>
      </c>
      <c r="O53" s="48">
        <f>SUM(O45:O52)</f>
        <v>0</v>
      </c>
      <c r="P53" s="86">
        <f>SUM(P45:P52)</f>
        <v>0</v>
      </c>
    </row>
    <row r="54" spans="1:17" ht="12.75" customHeight="1" x14ac:dyDescent="0.25">
      <c r="A54" s="26" t="s">
        <v>350</v>
      </c>
      <c r="B54" s="211"/>
      <c r="C54" s="212"/>
      <c r="D54" s="212"/>
      <c r="E54" s="212"/>
      <c r="F54" s="212"/>
      <c r="G54" s="237"/>
      <c r="H54" s="211"/>
      <c r="I54" s="212"/>
      <c r="J54" s="212"/>
      <c r="K54" s="212"/>
      <c r="L54" s="212"/>
      <c r="M54" s="324"/>
      <c r="N54" s="321"/>
      <c r="O54" s="322"/>
      <c r="P54" s="323"/>
    </row>
    <row r="55" spans="1:17" ht="12.75" customHeight="1" x14ac:dyDescent="0.25">
      <c r="A55" s="26" t="s">
        <v>351</v>
      </c>
      <c r="B55" s="211"/>
      <c r="C55" s="212"/>
      <c r="D55" s="212"/>
      <c r="E55" s="212"/>
      <c r="F55" s="212"/>
      <c r="G55" s="237"/>
      <c r="H55" s="211"/>
      <c r="I55" s="212"/>
      <c r="J55" s="212"/>
      <c r="K55" s="212"/>
      <c r="L55" s="212"/>
      <c r="M55" s="324"/>
      <c r="N55" s="321"/>
      <c r="O55" s="322"/>
      <c r="P55" s="323"/>
    </row>
    <row r="56" spans="1:17" ht="12.75" customHeight="1" x14ac:dyDescent="0.25">
      <c r="A56" s="26" t="s">
        <v>382</v>
      </c>
      <c r="B56" s="211"/>
      <c r="C56" s="212"/>
      <c r="D56" s="212"/>
      <c r="E56" s="212"/>
      <c r="F56" s="212"/>
      <c r="G56" s="237"/>
      <c r="H56" s="211"/>
      <c r="I56" s="212"/>
      <c r="J56" s="212"/>
      <c r="K56" s="212"/>
      <c r="L56" s="212"/>
      <c r="M56" s="324"/>
      <c r="N56" s="321"/>
      <c r="O56" s="322"/>
      <c r="P56" s="323"/>
    </row>
    <row r="57" spans="1:17" ht="12.75" customHeight="1" x14ac:dyDescent="0.25">
      <c r="A57" s="26" t="s">
        <v>211</v>
      </c>
      <c r="B57" s="211"/>
      <c r="C57" s="212"/>
      <c r="D57" s="212"/>
      <c r="E57" s="212"/>
      <c r="F57" s="212"/>
      <c r="G57" s="237"/>
      <c r="H57" s="211"/>
      <c r="I57" s="212"/>
      <c r="J57" s="212"/>
      <c r="K57" s="212"/>
      <c r="L57" s="212"/>
      <c r="M57" s="324"/>
      <c r="N57" s="321"/>
      <c r="O57" s="322"/>
      <c r="P57" s="323"/>
    </row>
    <row r="58" spans="1:17" ht="12.75" customHeight="1" x14ac:dyDescent="0.25">
      <c r="A58" s="59" t="s">
        <v>353</v>
      </c>
      <c r="B58" s="49">
        <f>SUM(B54:B57)</f>
        <v>0</v>
      </c>
      <c r="C58" s="48">
        <f t="shared" ref="C58:M58" si="6">SUM(C54:C57)</f>
        <v>0</v>
      </c>
      <c r="D58" s="48">
        <f t="shared" si="6"/>
        <v>0</v>
      </c>
      <c r="E58" s="48">
        <f t="shared" si="6"/>
        <v>0</v>
      </c>
      <c r="F58" s="48">
        <f t="shared" si="6"/>
        <v>0</v>
      </c>
      <c r="G58" s="127">
        <f t="shared" si="6"/>
        <v>0</v>
      </c>
      <c r="H58" s="49">
        <f t="shared" si="6"/>
        <v>0</v>
      </c>
      <c r="I58" s="48">
        <f t="shared" si="6"/>
        <v>0</v>
      </c>
      <c r="J58" s="48">
        <f t="shared" si="6"/>
        <v>0</v>
      </c>
      <c r="K58" s="48">
        <f t="shared" si="6"/>
        <v>0</v>
      </c>
      <c r="L58" s="48">
        <f t="shared" si="6"/>
        <v>0</v>
      </c>
      <c r="M58" s="127">
        <f t="shared" si="6"/>
        <v>0</v>
      </c>
      <c r="N58" s="49">
        <f>SUM(N54:N57)</f>
        <v>0</v>
      </c>
      <c r="O58" s="48">
        <f>SUM(O54:O57)</f>
        <v>0</v>
      </c>
      <c r="P58" s="86">
        <f>SUM(P54:P57)</f>
        <v>0</v>
      </c>
    </row>
    <row r="59" spans="1:17" ht="12.75" customHeight="1" x14ac:dyDescent="0.25">
      <c r="A59" s="26" t="s">
        <v>538</v>
      </c>
      <c r="B59" s="211"/>
      <c r="C59" s="212"/>
      <c r="D59" s="212"/>
      <c r="E59" s="212"/>
      <c r="F59" s="212"/>
      <c r="G59" s="237"/>
      <c r="H59" s="211"/>
      <c r="I59" s="212"/>
      <c r="J59" s="212"/>
      <c r="K59" s="212"/>
      <c r="L59" s="212"/>
      <c r="M59" s="324"/>
      <c r="N59" s="321"/>
      <c r="O59" s="322"/>
      <c r="P59" s="323"/>
    </row>
    <row r="60" spans="1:17" ht="12.75" customHeight="1" x14ac:dyDescent="0.25">
      <c r="A60" s="26" t="s">
        <v>362</v>
      </c>
      <c r="B60" s="211"/>
      <c r="C60" s="212"/>
      <c r="D60" s="212"/>
      <c r="E60" s="212"/>
      <c r="F60" s="212"/>
      <c r="G60" s="237"/>
      <c r="H60" s="211"/>
      <c r="I60" s="212"/>
      <c r="J60" s="212"/>
      <c r="K60" s="212"/>
      <c r="L60" s="212"/>
      <c r="M60" s="324"/>
      <c r="N60" s="321"/>
      <c r="O60" s="322"/>
      <c r="P60" s="323"/>
    </row>
    <row r="61" spans="1:17" ht="12.75" customHeight="1" x14ac:dyDescent="0.25">
      <c r="A61" s="26" t="s">
        <v>327</v>
      </c>
      <c r="B61" s="211"/>
      <c r="C61" s="212"/>
      <c r="D61" s="212"/>
      <c r="E61" s="212"/>
      <c r="F61" s="212"/>
      <c r="G61" s="237"/>
      <c r="H61" s="211"/>
      <c r="I61" s="212"/>
      <c r="J61" s="212"/>
      <c r="K61" s="212"/>
      <c r="L61" s="212"/>
      <c r="M61" s="324"/>
      <c r="N61" s="321"/>
      <c r="O61" s="322"/>
      <c r="P61" s="323"/>
    </row>
    <row r="62" spans="1:17" ht="12.75" customHeight="1" x14ac:dyDescent="0.25">
      <c r="A62" s="59" t="s">
        <v>354</v>
      </c>
      <c r="B62" s="49">
        <f>SUM(B59:B61)</f>
        <v>0</v>
      </c>
      <c r="C62" s="48">
        <f t="shared" ref="C62:M62" si="7">SUM(C59:C61)</f>
        <v>0</v>
      </c>
      <c r="D62" s="48">
        <f t="shared" si="7"/>
        <v>0</v>
      </c>
      <c r="E62" s="48">
        <f t="shared" si="7"/>
        <v>0</v>
      </c>
      <c r="F62" s="48">
        <f t="shared" si="7"/>
        <v>0</v>
      </c>
      <c r="G62" s="127">
        <f t="shared" si="7"/>
        <v>0</v>
      </c>
      <c r="H62" s="49">
        <f t="shared" si="7"/>
        <v>0</v>
      </c>
      <c r="I62" s="48">
        <f t="shared" si="7"/>
        <v>0</v>
      </c>
      <c r="J62" s="48">
        <f t="shared" si="7"/>
        <v>0</v>
      </c>
      <c r="K62" s="48">
        <f t="shared" si="7"/>
        <v>0</v>
      </c>
      <c r="L62" s="48">
        <f t="shared" si="7"/>
        <v>0</v>
      </c>
      <c r="M62" s="48">
        <f t="shared" si="7"/>
        <v>0</v>
      </c>
      <c r="N62" s="350">
        <f>M63</f>
        <v>0</v>
      </c>
      <c r="O62" s="48">
        <f>N63</f>
        <v>0</v>
      </c>
      <c r="P62" s="86">
        <f>O63</f>
        <v>0</v>
      </c>
    </row>
    <row r="63" spans="1:17" s="100" customFormat="1" ht="12.75" customHeight="1" x14ac:dyDescent="0.25">
      <c r="A63" s="162" t="s">
        <v>364</v>
      </c>
      <c r="B63" s="51">
        <f>B53+B58+B62</f>
        <v>0</v>
      </c>
      <c r="C63" s="50">
        <f t="shared" ref="C63:M63" si="8">C53+C58+C62</f>
        <v>0</v>
      </c>
      <c r="D63" s="50">
        <f t="shared" si="8"/>
        <v>0</v>
      </c>
      <c r="E63" s="50">
        <f t="shared" si="8"/>
        <v>0</v>
      </c>
      <c r="F63" s="50">
        <f t="shared" si="8"/>
        <v>0</v>
      </c>
      <c r="G63" s="163">
        <f t="shared" si="8"/>
        <v>0</v>
      </c>
      <c r="H63" s="51">
        <f t="shared" si="8"/>
        <v>0</v>
      </c>
      <c r="I63" s="50">
        <f t="shared" si="8"/>
        <v>0</v>
      </c>
      <c r="J63" s="50">
        <f t="shared" si="8"/>
        <v>0</v>
      </c>
      <c r="K63" s="50">
        <f t="shared" si="8"/>
        <v>0</v>
      </c>
      <c r="L63" s="50">
        <f t="shared" si="8"/>
        <v>0</v>
      </c>
      <c r="M63" s="163">
        <f t="shared" si="8"/>
        <v>0</v>
      </c>
      <c r="N63" s="51">
        <f>N53+N58+N62</f>
        <v>0</v>
      </c>
      <c r="O63" s="50">
        <f>O53+O58+O62</f>
        <v>0</v>
      </c>
      <c r="P63" s="111">
        <f>P53+P58+P62</f>
        <v>0</v>
      </c>
      <c r="Q63" s="166"/>
    </row>
    <row r="64" spans="1:17" ht="12.75" customHeight="1" x14ac:dyDescent="0.25">
      <c r="A64" s="44" t="s">
        <v>127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56"/>
      <c r="O64" s="46"/>
      <c r="P64" s="46"/>
    </row>
    <row r="65" spans="1:16" x14ac:dyDescent="0.25">
      <c r="A65" s="69"/>
      <c r="N65" s="88"/>
      <c r="O65" s="88"/>
      <c r="P65" s="88"/>
    </row>
  </sheetData>
  <sheetProtection sheet="1" objects="1" scenarios="1"/>
  <mergeCells count="2">
    <mergeCell ref="A2:A3"/>
    <mergeCell ref="B2:M2"/>
  </mergeCells>
  <phoneticPr fontId="2" type="noConversion"/>
  <dataValidations count="1">
    <dataValidation type="whole" allowBlank="1" showInputMessage="1" showErrorMessage="1" sqref="D26:P37 D41:P41 D45:P52 D54:P57 D59:P61 D6:P22">
      <formula1>-9999999999999</formula1>
      <formula2>9999999999999</formula2>
    </dataValidation>
  </dataValidations>
  <printOptions horizontalCentered="1"/>
  <pageMargins left="0.39" right="0.17" top="0.77" bottom="0.59" header="0.51181102362204722" footer="0.38"/>
  <pageSetup paperSize="9" scale="6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4FCDF"/>
  </sheetPr>
  <dimension ref="A1:X125"/>
  <sheetViews>
    <sheetView showGridLines="0" topLeftCell="A40" zoomScale="80" zoomScaleNormal="80" workbookViewId="0">
      <selection activeCell="C57" sqref="C57"/>
    </sheetView>
  </sheetViews>
  <sheetFormatPr defaultRowHeight="12.75" x14ac:dyDescent="0.25"/>
  <cols>
    <col min="1" max="1" width="35.7109375" style="20" customWidth="1"/>
    <col min="2" max="2" width="3.140625" style="47" customWidth="1"/>
    <col min="3" max="3" width="12.140625" style="20" bestFit="1" customWidth="1"/>
    <col min="4" max="4" width="11.5703125" style="20" customWidth="1"/>
    <col min="5" max="5" width="12.140625" style="20" customWidth="1"/>
    <col min="6" max="7" width="11.42578125" style="20" customWidth="1"/>
    <col min="8" max="8" width="12.85546875" style="20" customWidth="1"/>
    <col min="9" max="9" width="11.7109375" style="20" customWidth="1"/>
    <col min="10" max="10" width="11.28515625" style="20" customWidth="1"/>
    <col min="11" max="11" width="12.140625" style="20" bestFit="1" customWidth="1"/>
    <col min="12" max="12" width="13.140625" style="20" customWidth="1"/>
    <col min="13" max="13" width="12.285156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 x14ac:dyDescent="0.25">
      <c r="A1" s="19" t="str">
        <f>MEAB10a&amp;" - "&amp;Date</f>
        <v>Greater Tzaneen Development Agency - Supporting Table SE6a   Adjustments capital expenditure on new assets by asset category - 29/02/2016</v>
      </c>
    </row>
    <row r="2" spans="1:13" ht="33" customHeight="1" x14ac:dyDescent="0.25">
      <c r="A2" s="440" t="str">
        <f>desc</f>
        <v>Description</v>
      </c>
      <c r="B2" s="440" t="str">
        <f>head27</f>
        <v>Ref</v>
      </c>
      <c r="C2" s="437" t="s">
        <v>911</v>
      </c>
      <c r="D2" s="434"/>
      <c r="E2" s="434"/>
      <c r="F2" s="434"/>
      <c r="G2" s="434"/>
      <c r="H2" s="434"/>
      <c r="I2" s="434"/>
      <c r="J2" s="434"/>
      <c r="K2" s="435"/>
      <c r="L2" s="369" t="s">
        <v>912</v>
      </c>
      <c r="M2" s="108" t="s">
        <v>913</v>
      </c>
    </row>
    <row r="3" spans="1:13" ht="41.25" customHeight="1" x14ac:dyDescent="0.25">
      <c r="A3" s="441"/>
      <c r="B3" s="441"/>
      <c r="C3" s="419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0"/>
      <c r="C4" s="420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294">
        <v>1</v>
      </c>
      <c r="C5" s="421" t="s">
        <v>107</v>
      </c>
      <c r="D5" s="368" t="s">
        <v>316</v>
      </c>
      <c r="E5" s="368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5.0999999999999996" customHeight="1" x14ac:dyDescent="0.25">
      <c r="A7" s="23"/>
      <c r="B7" s="281"/>
      <c r="C7" s="3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1.25" customHeight="1" x14ac:dyDescent="0.25">
      <c r="A8" s="269" t="s">
        <v>167</v>
      </c>
      <c r="B8" s="282"/>
      <c r="C8" s="422">
        <f t="shared" ref="C8:M8" si="0">C9+C12+C16+C20+C23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371">
        <f>SUM(E8:I8)</f>
        <v>0</v>
      </c>
      <c r="K8" s="371">
        <f>IF(D8=0,C8+J8,D8+J8)</f>
        <v>0</v>
      </c>
      <c r="L8" s="292">
        <f t="shared" si="0"/>
        <v>0</v>
      </c>
      <c r="M8" s="295">
        <f t="shared" si="0"/>
        <v>0</v>
      </c>
    </row>
    <row r="9" spans="1:13" s="328" customFormat="1" ht="13.5" x14ac:dyDescent="0.25">
      <c r="A9" s="265" t="s">
        <v>539</v>
      </c>
      <c r="B9" s="282"/>
      <c r="C9" s="423">
        <f t="shared" ref="C9:M9" si="1">SUM(C10:C11)</f>
        <v>0</v>
      </c>
      <c r="D9" s="308">
        <f t="shared" si="1"/>
        <v>0</v>
      </c>
      <c r="E9" s="308">
        <f t="shared" si="1"/>
        <v>0</v>
      </c>
      <c r="F9" s="308">
        <f t="shared" si="1"/>
        <v>0</v>
      </c>
      <c r="G9" s="308">
        <f t="shared" si="1"/>
        <v>0</v>
      </c>
      <c r="H9" s="308">
        <f t="shared" si="1"/>
        <v>0</v>
      </c>
      <c r="I9" s="308">
        <f t="shared" si="1"/>
        <v>0</v>
      </c>
      <c r="J9" s="29">
        <f t="shared" ref="J9:J28" si="2">SUM(E9:I9)</f>
        <v>0</v>
      </c>
      <c r="K9" s="29">
        <f t="shared" ref="K9:K28" si="3">IF(D9=0,C9+J9,D9+J9)</f>
        <v>0</v>
      </c>
      <c r="L9" s="308">
        <f t="shared" si="1"/>
        <v>0</v>
      </c>
      <c r="M9" s="309">
        <f t="shared" si="1"/>
        <v>0</v>
      </c>
    </row>
    <row r="10" spans="1:13" s="328" customFormat="1" ht="13.5" x14ac:dyDescent="0.25">
      <c r="A10" s="270" t="s">
        <v>540</v>
      </c>
      <c r="B10" s="282"/>
      <c r="C10" s="211"/>
      <c r="D10" s="212"/>
      <c r="E10" s="212"/>
      <c r="F10" s="212"/>
      <c r="G10" s="212"/>
      <c r="H10" s="212"/>
      <c r="I10" s="212"/>
      <c r="J10" s="29">
        <f t="shared" si="2"/>
        <v>0</v>
      </c>
      <c r="K10" s="29">
        <f t="shared" si="3"/>
        <v>0</v>
      </c>
      <c r="L10" s="212"/>
      <c r="M10" s="213"/>
    </row>
    <row r="11" spans="1:13" s="328" customFormat="1" ht="13.5" x14ac:dyDescent="0.25">
      <c r="A11" s="270" t="s">
        <v>541</v>
      </c>
      <c r="B11" s="282"/>
      <c r="C11" s="211"/>
      <c r="D11" s="212"/>
      <c r="E11" s="212"/>
      <c r="F11" s="212"/>
      <c r="G11" s="212"/>
      <c r="H11" s="212"/>
      <c r="I11" s="212"/>
      <c r="J11" s="29">
        <f t="shared" si="2"/>
        <v>0</v>
      </c>
      <c r="K11" s="29">
        <f t="shared" si="3"/>
        <v>0</v>
      </c>
      <c r="L11" s="212"/>
      <c r="M11" s="213"/>
    </row>
    <row r="12" spans="1:13" s="328" customFormat="1" ht="13.5" x14ac:dyDescent="0.25">
      <c r="A12" s="265" t="s">
        <v>542</v>
      </c>
      <c r="B12" s="282"/>
      <c r="C12" s="424">
        <f t="shared" ref="C12:M12" si="4">SUM(C13:C15)</f>
        <v>0</v>
      </c>
      <c r="D12" s="312">
        <f t="shared" si="4"/>
        <v>0</v>
      </c>
      <c r="E12" s="312">
        <f t="shared" si="4"/>
        <v>0</v>
      </c>
      <c r="F12" s="312">
        <f t="shared" si="4"/>
        <v>0</v>
      </c>
      <c r="G12" s="312">
        <f t="shared" si="4"/>
        <v>0</v>
      </c>
      <c r="H12" s="312">
        <f t="shared" si="4"/>
        <v>0</v>
      </c>
      <c r="I12" s="312">
        <f t="shared" si="4"/>
        <v>0</v>
      </c>
      <c r="J12" s="29">
        <f t="shared" si="2"/>
        <v>0</v>
      </c>
      <c r="K12" s="29">
        <f t="shared" si="3"/>
        <v>0</v>
      </c>
      <c r="L12" s="312">
        <f t="shared" si="4"/>
        <v>0</v>
      </c>
      <c r="M12" s="313">
        <f t="shared" si="4"/>
        <v>0</v>
      </c>
    </row>
    <row r="13" spans="1:13" s="328" customFormat="1" ht="13.5" x14ac:dyDescent="0.25">
      <c r="A13" s="270" t="s">
        <v>543</v>
      </c>
      <c r="B13" s="282"/>
      <c r="C13" s="211"/>
      <c r="D13" s="212"/>
      <c r="E13" s="212"/>
      <c r="F13" s="212"/>
      <c r="G13" s="212"/>
      <c r="H13" s="212"/>
      <c r="I13" s="212"/>
      <c r="J13" s="29">
        <f t="shared" si="2"/>
        <v>0</v>
      </c>
      <c r="K13" s="29">
        <f t="shared" si="3"/>
        <v>0</v>
      </c>
      <c r="L13" s="212"/>
      <c r="M13" s="213"/>
    </row>
    <row r="14" spans="1:13" s="328" customFormat="1" ht="13.5" x14ac:dyDescent="0.25">
      <c r="A14" s="270" t="s">
        <v>544</v>
      </c>
      <c r="B14" s="282"/>
      <c r="C14" s="211"/>
      <c r="D14" s="212"/>
      <c r="E14" s="212"/>
      <c r="F14" s="212"/>
      <c r="G14" s="212"/>
      <c r="H14" s="212"/>
      <c r="I14" s="212"/>
      <c r="J14" s="29">
        <f t="shared" si="2"/>
        <v>0</v>
      </c>
      <c r="K14" s="29">
        <f t="shared" si="3"/>
        <v>0</v>
      </c>
      <c r="L14" s="212"/>
      <c r="M14" s="213"/>
    </row>
    <row r="15" spans="1:13" s="328" customFormat="1" ht="13.5" x14ac:dyDescent="0.25">
      <c r="A15" s="270" t="s">
        <v>48</v>
      </c>
      <c r="B15" s="282"/>
      <c r="C15" s="211"/>
      <c r="D15" s="212"/>
      <c r="E15" s="212"/>
      <c r="F15" s="212"/>
      <c r="G15" s="212"/>
      <c r="H15" s="212"/>
      <c r="I15" s="212"/>
      <c r="J15" s="29">
        <f t="shared" si="2"/>
        <v>0</v>
      </c>
      <c r="K15" s="29">
        <f t="shared" si="3"/>
        <v>0</v>
      </c>
      <c r="L15" s="212"/>
      <c r="M15" s="213"/>
    </row>
    <row r="16" spans="1:13" s="328" customFormat="1" ht="13.5" x14ac:dyDescent="0.25">
      <c r="A16" s="271" t="s">
        <v>545</v>
      </c>
      <c r="B16" s="283"/>
      <c r="C16" s="424">
        <f t="shared" ref="C16:M16" si="5">SUM(C17:C19)</f>
        <v>0</v>
      </c>
      <c r="D16" s="312">
        <f t="shared" si="5"/>
        <v>0</v>
      </c>
      <c r="E16" s="312">
        <f t="shared" si="5"/>
        <v>0</v>
      </c>
      <c r="F16" s="312">
        <f t="shared" si="5"/>
        <v>0</v>
      </c>
      <c r="G16" s="312">
        <f t="shared" si="5"/>
        <v>0</v>
      </c>
      <c r="H16" s="312">
        <f t="shared" si="5"/>
        <v>0</v>
      </c>
      <c r="I16" s="312">
        <f t="shared" si="5"/>
        <v>0</v>
      </c>
      <c r="J16" s="29">
        <f t="shared" si="2"/>
        <v>0</v>
      </c>
      <c r="K16" s="29">
        <f t="shared" si="3"/>
        <v>0</v>
      </c>
      <c r="L16" s="312">
        <f t="shared" si="5"/>
        <v>0</v>
      </c>
      <c r="M16" s="313">
        <f t="shared" si="5"/>
        <v>0</v>
      </c>
    </row>
    <row r="17" spans="1:13" s="328" customFormat="1" ht="13.5" x14ac:dyDescent="0.25">
      <c r="A17" s="270" t="s">
        <v>546</v>
      </c>
      <c r="B17" s="282"/>
      <c r="C17" s="211"/>
      <c r="D17" s="212"/>
      <c r="E17" s="212"/>
      <c r="F17" s="212"/>
      <c r="G17" s="212"/>
      <c r="H17" s="212"/>
      <c r="I17" s="212"/>
      <c r="J17" s="29">
        <f t="shared" si="2"/>
        <v>0</v>
      </c>
      <c r="K17" s="29">
        <f t="shared" si="3"/>
        <v>0</v>
      </c>
      <c r="L17" s="212"/>
      <c r="M17" s="213"/>
    </row>
    <row r="18" spans="1:13" s="328" customFormat="1" ht="13.5" x14ac:dyDescent="0.25">
      <c r="A18" s="270" t="s">
        <v>547</v>
      </c>
      <c r="B18" s="282"/>
      <c r="C18" s="211"/>
      <c r="D18" s="212"/>
      <c r="E18" s="212"/>
      <c r="F18" s="212"/>
      <c r="G18" s="212"/>
      <c r="H18" s="212"/>
      <c r="I18" s="212"/>
      <c r="J18" s="29">
        <f t="shared" si="2"/>
        <v>0</v>
      </c>
      <c r="K18" s="29">
        <f t="shared" si="3"/>
        <v>0</v>
      </c>
      <c r="L18" s="212"/>
      <c r="M18" s="213"/>
    </row>
    <row r="19" spans="1:13" s="328" customFormat="1" ht="13.5" x14ac:dyDescent="0.25">
      <c r="A19" s="270" t="s">
        <v>548</v>
      </c>
      <c r="B19" s="282"/>
      <c r="C19" s="211"/>
      <c r="D19" s="212"/>
      <c r="E19" s="212"/>
      <c r="F19" s="212"/>
      <c r="G19" s="212"/>
      <c r="H19" s="212"/>
      <c r="I19" s="212"/>
      <c r="J19" s="29">
        <f t="shared" si="2"/>
        <v>0</v>
      </c>
      <c r="K19" s="29">
        <f t="shared" si="3"/>
        <v>0</v>
      </c>
      <c r="L19" s="212"/>
      <c r="M19" s="213"/>
    </row>
    <row r="20" spans="1:13" s="328" customFormat="1" ht="13.5" x14ac:dyDescent="0.25">
      <c r="A20" s="271" t="s">
        <v>549</v>
      </c>
      <c r="B20" s="282"/>
      <c r="C20" s="424">
        <f t="shared" ref="C20:M20" si="6">SUM(C21:C22)</f>
        <v>0</v>
      </c>
      <c r="D20" s="312">
        <f t="shared" si="6"/>
        <v>0</v>
      </c>
      <c r="E20" s="312">
        <f t="shared" si="6"/>
        <v>0</v>
      </c>
      <c r="F20" s="312">
        <f t="shared" si="6"/>
        <v>0</v>
      </c>
      <c r="G20" s="312">
        <f t="shared" si="6"/>
        <v>0</v>
      </c>
      <c r="H20" s="312">
        <f t="shared" si="6"/>
        <v>0</v>
      </c>
      <c r="I20" s="312">
        <f t="shared" si="6"/>
        <v>0</v>
      </c>
      <c r="J20" s="29">
        <f t="shared" si="2"/>
        <v>0</v>
      </c>
      <c r="K20" s="29">
        <f t="shared" si="3"/>
        <v>0</v>
      </c>
      <c r="L20" s="312">
        <f t="shared" si="6"/>
        <v>0</v>
      </c>
      <c r="M20" s="313">
        <f t="shared" si="6"/>
        <v>0</v>
      </c>
    </row>
    <row r="21" spans="1:13" s="328" customFormat="1" ht="13.5" x14ac:dyDescent="0.25">
      <c r="A21" s="270" t="s">
        <v>548</v>
      </c>
      <c r="B21" s="282"/>
      <c r="C21" s="211"/>
      <c r="D21" s="212"/>
      <c r="E21" s="212"/>
      <c r="F21" s="212"/>
      <c r="G21" s="212"/>
      <c r="H21" s="212"/>
      <c r="I21" s="212"/>
      <c r="J21" s="29">
        <f t="shared" si="2"/>
        <v>0</v>
      </c>
      <c r="K21" s="29">
        <f t="shared" si="3"/>
        <v>0</v>
      </c>
      <c r="L21" s="212"/>
      <c r="M21" s="213"/>
    </row>
    <row r="22" spans="1:13" s="328" customFormat="1" ht="13.5" x14ac:dyDescent="0.25">
      <c r="A22" s="270" t="s">
        <v>550</v>
      </c>
      <c r="B22" s="282"/>
      <c r="C22" s="211"/>
      <c r="D22" s="212"/>
      <c r="E22" s="212"/>
      <c r="F22" s="212"/>
      <c r="G22" s="212"/>
      <c r="H22" s="212"/>
      <c r="I22" s="212"/>
      <c r="J22" s="29">
        <f t="shared" si="2"/>
        <v>0</v>
      </c>
      <c r="K22" s="29">
        <f t="shared" si="3"/>
        <v>0</v>
      </c>
      <c r="L22" s="212"/>
      <c r="M22" s="213"/>
    </row>
    <row r="23" spans="1:13" s="328" customFormat="1" ht="13.5" x14ac:dyDescent="0.25">
      <c r="A23" s="265" t="s">
        <v>551</v>
      </c>
      <c r="B23" s="282"/>
      <c r="C23" s="424">
        <f t="shared" ref="C23:M23" si="7">SUM(C24:C27)</f>
        <v>0</v>
      </c>
      <c r="D23" s="312">
        <f t="shared" si="7"/>
        <v>0</v>
      </c>
      <c r="E23" s="312">
        <f t="shared" si="7"/>
        <v>0</v>
      </c>
      <c r="F23" s="312">
        <f t="shared" si="7"/>
        <v>0</v>
      </c>
      <c r="G23" s="312">
        <f t="shared" si="7"/>
        <v>0</v>
      </c>
      <c r="H23" s="312">
        <f t="shared" si="7"/>
        <v>0</v>
      </c>
      <c r="I23" s="312">
        <f t="shared" si="7"/>
        <v>0</v>
      </c>
      <c r="J23" s="29">
        <f t="shared" si="2"/>
        <v>0</v>
      </c>
      <c r="K23" s="29">
        <f t="shared" si="3"/>
        <v>0</v>
      </c>
      <c r="L23" s="312">
        <f t="shared" si="7"/>
        <v>0</v>
      </c>
      <c r="M23" s="313">
        <f t="shared" si="7"/>
        <v>0</v>
      </c>
    </row>
    <row r="24" spans="1:13" s="328" customFormat="1" ht="13.5" x14ac:dyDescent="0.25">
      <c r="A24" s="270" t="s">
        <v>92</v>
      </c>
      <c r="B24" s="282"/>
      <c r="C24" s="211"/>
      <c r="D24" s="212"/>
      <c r="E24" s="212"/>
      <c r="F24" s="212"/>
      <c r="G24" s="212"/>
      <c r="H24" s="212"/>
      <c r="I24" s="212"/>
      <c r="J24" s="29">
        <f t="shared" si="2"/>
        <v>0</v>
      </c>
      <c r="K24" s="29">
        <f t="shared" si="3"/>
        <v>0</v>
      </c>
      <c r="L24" s="212"/>
      <c r="M24" s="213"/>
    </row>
    <row r="25" spans="1:13" s="328" customFormat="1" ht="13.5" x14ac:dyDescent="0.25">
      <c r="A25" s="270" t="s">
        <v>552</v>
      </c>
      <c r="B25" s="282">
        <v>2</v>
      </c>
      <c r="C25" s="211"/>
      <c r="D25" s="212"/>
      <c r="E25" s="212"/>
      <c r="F25" s="212"/>
      <c r="G25" s="212"/>
      <c r="H25" s="212"/>
      <c r="I25" s="212"/>
      <c r="J25" s="29">
        <f t="shared" si="2"/>
        <v>0</v>
      </c>
      <c r="K25" s="29">
        <f t="shared" si="3"/>
        <v>0</v>
      </c>
      <c r="L25" s="212"/>
      <c r="M25" s="213"/>
    </row>
    <row r="26" spans="1:13" s="328" customFormat="1" ht="13.5" x14ac:dyDescent="0.25">
      <c r="A26" s="270" t="s">
        <v>49</v>
      </c>
      <c r="B26" s="282"/>
      <c r="C26" s="211"/>
      <c r="D26" s="212"/>
      <c r="E26" s="212"/>
      <c r="F26" s="212"/>
      <c r="G26" s="212"/>
      <c r="H26" s="212"/>
      <c r="I26" s="212"/>
      <c r="J26" s="29">
        <f t="shared" si="2"/>
        <v>0</v>
      </c>
      <c r="K26" s="29">
        <f t="shared" si="3"/>
        <v>0</v>
      </c>
      <c r="L26" s="212"/>
      <c r="M26" s="213"/>
    </row>
    <row r="27" spans="1:13" s="328" customFormat="1" ht="13.5" x14ac:dyDescent="0.25">
      <c r="A27" s="270" t="s">
        <v>239</v>
      </c>
      <c r="B27" s="282">
        <v>3</v>
      </c>
      <c r="C27" s="211"/>
      <c r="D27" s="212"/>
      <c r="E27" s="212"/>
      <c r="F27" s="212"/>
      <c r="G27" s="212"/>
      <c r="H27" s="212"/>
      <c r="I27" s="212"/>
      <c r="J27" s="29">
        <f t="shared" si="2"/>
        <v>0</v>
      </c>
      <c r="K27" s="29">
        <f t="shared" si="3"/>
        <v>0</v>
      </c>
      <c r="L27" s="212"/>
      <c r="M27" s="213"/>
    </row>
    <row r="28" spans="1:13" ht="5.0999999999999996" customHeight="1" x14ac:dyDescent="0.25">
      <c r="A28" s="27"/>
      <c r="B28" s="281"/>
      <c r="C28" s="30"/>
      <c r="D28" s="29"/>
      <c r="E28" s="29"/>
      <c r="F28" s="29"/>
      <c r="G28" s="29"/>
      <c r="H28" s="29"/>
      <c r="I28" s="29"/>
      <c r="J28" s="29">
        <f t="shared" si="2"/>
        <v>0</v>
      </c>
      <c r="K28" s="29">
        <f t="shared" si="3"/>
        <v>0</v>
      </c>
      <c r="L28" s="29"/>
      <c r="M28" s="85"/>
    </row>
    <row r="29" spans="1:13" ht="12.75" customHeight="1" x14ac:dyDescent="0.25">
      <c r="A29" s="23" t="s">
        <v>365</v>
      </c>
      <c r="B29" s="281"/>
      <c r="C29" s="425">
        <f t="shared" ref="C29:M29" si="8">SUM(C30:C43)</f>
        <v>0</v>
      </c>
      <c r="D29" s="33">
        <f t="shared" si="8"/>
        <v>0</v>
      </c>
      <c r="E29" s="33">
        <f t="shared" si="8"/>
        <v>0</v>
      </c>
      <c r="F29" s="33">
        <f t="shared" si="8"/>
        <v>0</v>
      </c>
      <c r="G29" s="33">
        <f t="shared" si="8"/>
        <v>0</v>
      </c>
      <c r="H29" s="33">
        <f t="shared" si="8"/>
        <v>0</v>
      </c>
      <c r="I29" s="33">
        <f t="shared" si="8"/>
        <v>0</v>
      </c>
      <c r="J29" s="33">
        <f>SUM(E29:I29)</f>
        <v>0</v>
      </c>
      <c r="K29" s="33">
        <f>IF(D29=0,C29+J29,D29+J29)</f>
        <v>0</v>
      </c>
      <c r="L29" s="33">
        <f t="shared" si="8"/>
        <v>0</v>
      </c>
      <c r="M29" s="103">
        <f t="shared" si="8"/>
        <v>0</v>
      </c>
    </row>
    <row r="30" spans="1:13" ht="12.75" customHeight="1" x14ac:dyDescent="0.25">
      <c r="A30" s="265" t="s">
        <v>553</v>
      </c>
      <c r="B30" s="281"/>
      <c r="C30" s="211"/>
      <c r="D30" s="212"/>
      <c r="E30" s="212"/>
      <c r="F30" s="212"/>
      <c r="G30" s="212"/>
      <c r="H30" s="212"/>
      <c r="I30" s="212"/>
      <c r="J30" s="29">
        <f t="shared" ref="J30:J41" si="9">SUM(E30:I30)</f>
        <v>0</v>
      </c>
      <c r="K30" s="29">
        <f t="shared" ref="K30:K41" si="10">IF(D30=0,C30+J30,D30+J30)</f>
        <v>0</v>
      </c>
      <c r="L30" s="212"/>
      <c r="M30" s="213"/>
    </row>
    <row r="31" spans="1:13" ht="12.75" customHeight="1" x14ac:dyDescent="0.25">
      <c r="A31" s="265" t="s">
        <v>554</v>
      </c>
      <c r="B31" s="281"/>
      <c r="C31" s="211"/>
      <c r="D31" s="212"/>
      <c r="E31" s="212"/>
      <c r="F31" s="212"/>
      <c r="G31" s="212"/>
      <c r="H31" s="212"/>
      <c r="I31" s="212"/>
      <c r="J31" s="29">
        <f t="shared" si="9"/>
        <v>0</v>
      </c>
      <c r="K31" s="29">
        <f t="shared" si="10"/>
        <v>0</v>
      </c>
      <c r="L31" s="212"/>
      <c r="M31" s="213"/>
    </row>
    <row r="32" spans="1:13" ht="12.75" customHeight="1" x14ac:dyDescent="0.25">
      <c r="A32" s="265" t="s">
        <v>555</v>
      </c>
      <c r="B32" s="281"/>
      <c r="C32" s="211"/>
      <c r="D32" s="212"/>
      <c r="E32" s="212"/>
      <c r="F32" s="212"/>
      <c r="G32" s="212"/>
      <c r="H32" s="212"/>
      <c r="I32" s="212"/>
      <c r="J32" s="29">
        <f t="shared" si="9"/>
        <v>0</v>
      </c>
      <c r="K32" s="29">
        <f t="shared" si="10"/>
        <v>0</v>
      </c>
      <c r="L32" s="212"/>
      <c r="M32" s="213"/>
    </row>
    <row r="33" spans="1:13" ht="12.75" customHeight="1" x14ac:dyDescent="0.25">
      <c r="A33" s="265" t="s">
        <v>556</v>
      </c>
      <c r="B33" s="281"/>
      <c r="C33" s="211"/>
      <c r="D33" s="212"/>
      <c r="E33" s="212"/>
      <c r="F33" s="212"/>
      <c r="G33" s="212"/>
      <c r="H33" s="212"/>
      <c r="I33" s="212"/>
      <c r="J33" s="29">
        <f t="shared" si="9"/>
        <v>0</v>
      </c>
      <c r="K33" s="29">
        <f t="shared" si="10"/>
        <v>0</v>
      </c>
      <c r="L33" s="212"/>
      <c r="M33" s="213"/>
    </row>
    <row r="34" spans="1:13" ht="12.75" customHeight="1" x14ac:dyDescent="0.25">
      <c r="A34" s="265" t="s">
        <v>89</v>
      </c>
      <c r="B34" s="281"/>
      <c r="C34" s="211"/>
      <c r="D34" s="212"/>
      <c r="E34" s="212"/>
      <c r="F34" s="212"/>
      <c r="G34" s="212"/>
      <c r="H34" s="212"/>
      <c r="I34" s="212"/>
      <c r="J34" s="29">
        <f t="shared" si="9"/>
        <v>0</v>
      </c>
      <c r="K34" s="29">
        <f t="shared" si="10"/>
        <v>0</v>
      </c>
      <c r="L34" s="212"/>
      <c r="M34" s="213"/>
    </row>
    <row r="35" spans="1:13" ht="12.75" customHeight="1" x14ac:dyDescent="0.25">
      <c r="A35" s="265" t="s">
        <v>557</v>
      </c>
      <c r="B35" s="281"/>
      <c r="C35" s="211"/>
      <c r="D35" s="212"/>
      <c r="E35" s="212"/>
      <c r="F35" s="212"/>
      <c r="G35" s="212"/>
      <c r="H35" s="212"/>
      <c r="I35" s="212"/>
      <c r="J35" s="29">
        <f t="shared" si="9"/>
        <v>0</v>
      </c>
      <c r="K35" s="29">
        <f t="shared" si="10"/>
        <v>0</v>
      </c>
      <c r="L35" s="212"/>
      <c r="M35" s="213"/>
    </row>
    <row r="36" spans="1:13" ht="12.75" customHeight="1" x14ac:dyDescent="0.25">
      <c r="A36" s="265" t="s">
        <v>558</v>
      </c>
      <c r="B36" s="281"/>
      <c r="C36" s="211"/>
      <c r="D36" s="212"/>
      <c r="E36" s="212"/>
      <c r="F36" s="212"/>
      <c r="G36" s="212"/>
      <c r="H36" s="212"/>
      <c r="I36" s="212"/>
      <c r="J36" s="29">
        <f t="shared" si="9"/>
        <v>0</v>
      </c>
      <c r="K36" s="29">
        <f t="shared" si="10"/>
        <v>0</v>
      </c>
      <c r="L36" s="212"/>
      <c r="M36" s="213"/>
    </row>
    <row r="37" spans="1:13" ht="12.75" customHeight="1" x14ac:dyDescent="0.25">
      <c r="A37" s="265" t="s">
        <v>559</v>
      </c>
      <c r="B37" s="281"/>
      <c r="C37" s="211"/>
      <c r="D37" s="212"/>
      <c r="E37" s="212"/>
      <c r="F37" s="212"/>
      <c r="G37" s="212"/>
      <c r="H37" s="212"/>
      <c r="I37" s="212"/>
      <c r="J37" s="29">
        <f t="shared" si="9"/>
        <v>0</v>
      </c>
      <c r="K37" s="29">
        <f t="shared" si="10"/>
        <v>0</v>
      </c>
      <c r="L37" s="212"/>
      <c r="M37" s="213"/>
    </row>
    <row r="38" spans="1:13" ht="12.75" customHeight="1" x14ac:dyDescent="0.25">
      <c r="A38" s="265" t="s">
        <v>132</v>
      </c>
      <c r="B38" s="281"/>
      <c r="C38" s="211"/>
      <c r="D38" s="212"/>
      <c r="E38" s="212"/>
      <c r="F38" s="212"/>
      <c r="G38" s="212"/>
      <c r="H38" s="212"/>
      <c r="I38" s="212"/>
      <c r="J38" s="29">
        <f t="shared" si="9"/>
        <v>0</v>
      </c>
      <c r="K38" s="29">
        <f t="shared" si="10"/>
        <v>0</v>
      </c>
      <c r="L38" s="212"/>
      <c r="M38" s="213"/>
    </row>
    <row r="39" spans="1:13" ht="12.75" customHeight="1" x14ac:dyDescent="0.25">
      <c r="A39" s="265" t="s">
        <v>274</v>
      </c>
      <c r="B39" s="281"/>
      <c r="C39" s="211"/>
      <c r="D39" s="212"/>
      <c r="E39" s="212"/>
      <c r="F39" s="212"/>
      <c r="G39" s="212"/>
      <c r="H39" s="212"/>
      <c r="I39" s="212"/>
      <c r="J39" s="29">
        <f t="shared" si="9"/>
        <v>0</v>
      </c>
      <c r="K39" s="29">
        <f t="shared" si="10"/>
        <v>0</v>
      </c>
      <c r="L39" s="212"/>
      <c r="M39" s="213"/>
    </row>
    <row r="40" spans="1:13" ht="12.75" customHeight="1" x14ac:dyDescent="0.25">
      <c r="A40" s="265" t="s">
        <v>275</v>
      </c>
      <c r="B40" s="281"/>
      <c r="C40" s="211"/>
      <c r="D40" s="212"/>
      <c r="E40" s="212"/>
      <c r="F40" s="212"/>
      <c r="G40" s="212"/>
      <c r="H40" s="212"/>
      <c r="I40" s="212"/>
      <c r="J40" s="29">
        <f t="shared" si="9"/>
        <v>0</v>
      </c>
      <c r="K40" s="29">
        <f t="shared" si="10"/>
        <v>0</v>
      </c>
      <c r="L40" s="212"/>
      <c r="M40" s="213"/>
    </row>
    <row r="41" spans="1:13" ht="12.75" customHeight="1" x14ac:dyDescent="0.25">
      <c r="A41" s="265" t="s">
        <v>560</v>
      </c>
      <c r="B41" s="281"/>
      <c r="C41" s="211"/>
      <c r="D41" s="212"/>
      <c r="E41" s="212"/>
      <c r="F41" s="212"/>
      <c r="G41" s="212"/>
      <c r="H41" s="212"/>
      <c r="I41" s="212"/>
      <c r="J41" s="29">
        <f t="shared" si="9"/>
        <v>0</v>
      </c>
      <c r="K41" s="29">
        <f t="shared" si="10"/>
        <v>0</v>
      </c>
      <c r="L41" s="212"/>
      <c r="M41" s="213"/>
    </row>
    <row r="42" spans="1:13" ht="12.75" customHeight="1" x14ac:dyDescent="0.25">
      <c r="A42" s="265" t="s">
        <v>561</v>
      </c>
      <c r="B42" s="281"/>
      <c r="C42" s="211"/>
      <c r="D42" s="212"/>
      <c r="E42" s="212"/>
      <c r="F42" s="212"/>
      <c r="G42" s="212"/>
      <c r="H42" s="212"/>
      <c r="I42" s="212"/>
      <c r="J42" s="29">
        <f>SUM(E42:I42)</f>
        <v>0</v>
      </c>
      <c r="K42" s="29">
        <f>IF(D42=0,C42+J42,D42+J42)</f>
        <v>0</v>
      </c>
      <c r="L42" s="212"/>
      <c r="M42" s="213"/>
    </row>
    <row r="43" spans="1:13" ht="12.75" customHeight="1" x14ac:dyDescent="0.25">
      <c r="A43" s="26" t="s">
        <v>239</v>
      </c>
      <c r="B43" s="281"/>
      <c r="C43" s="211"/>
      <c r="D43" s="212"/>
      <c r="E43" s="212"/>
      <c r="F43" s="212"/>
      <c r="G43" s="212"/>
      <c r="H43" s="212"/>
      <c r="I43" s="212"/>
      <c r="J43" s="29">
        <f>SUM(E43:I43)</f>
        <v>0</v>
      </c>
      <c r="K43" s="29">
        <f>IF(D43=0,C43+J43,D43+J43)</f>
        <v>0</v>
      </c>
      <c r="L43" s="212"/>
      <c r="M43" s="213"/>
    </row>
    <row r="44" spans="1:13" ht="5.0999999999999996" customHeight="1" x14ac:dyDescent="0.25">
      <c r="A44" s="27"/>
      <c r="B44" s="281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85"/>
    </row>
    <row r="45" spans="1:13" ht="17.25" customHeight="1" x14ac:dyDescent="0.25">
      <c r="A45" s="269" t="s">
        <v>194</v>
      </c>
      <c r="B45" s="282"/>
      <c r="C45" s="425">
        <f>SUM(C46:C47)</f>
        <v>0</v>
      </c>
      <c r="D45" s="33">
        <f t="shared" ref="D45:M45" si="11">SUM(D46:D47)</f>
        <v>0</v>
      </c>
      <c r="E45" s="33">
        <f t="shared" si="11"/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>SUM(J46:J47)</f>
        <v>0</v>
      </c>
      <c r="K45" s="33">
        <f>SUM(K46:K47)</f>
        <v>0</v>
      </c>
      <c r="L45" s="33">
        <f t="shared" si="11"/>
        <v>0</v>
      </c>
      <c r="M45" s="103">
        <f t="shared" si="11"/>
        <v>0</v>
      </c>
    </row>
    <row r="46" spans="1:13" ht="11.25" customHeight="1" x14ac:dyDescent="0.25">
      <c r="A46" s="265" t="s">
        <v>562</v>
      </c>
      <c r="B46" s="282"/>
      <c r="C46" s="211"/>
      <c r="D46" s="212"/>
      <c r="E46" s="212"/>
      <c r="F46" s="212"/>
      <c r="G46" s="212"/>
      <c r="H46" s="212"/>
      <c r="I46" s="212"/>
      <c r="J46" s="29">
        <f>SUM(E46:I46)</f>
        <v>0</v>
      </c>
      <c r="K46" s="29">
        <f>IF(D46=0,C46+J46,D46+J46)</f>
        <v>0</v>
      </c>
      <c r="L46" s="212"/>
      <c r="M46" s="213"/>
    </row>
    <row r="47" spans="1:13" ht="11.25" customHeight="1" x14ac:dyDescent="0.25">
      <c r="A47" s="271" t="s">
        <v>239</v>
      </c>
      <c r="B47" s="282"/>
      <c r="C47" s="211"/>
      <c r="D47" s="212"/>
      <c r="E47" s="212"/>
      <c r="F47" s="212"/>
      <c r="G47" s="212"/>
      <c r="H47" s="212"/>
      <c r="I47" s="212"/>
      <c r="J47" s="29">
        <f>SUM(E47:I47)</f>
        <v>0</v>
      </c>
      <c r="K47" s="29">
        <f>IF(D47=0,C47+J47,D47+J47)</f>
        <v>0</v>
      </c>
      <c r="L47" s="212"/>
      <c r="M47" s="213"/>
    </row>
    <row r="48" spans="1:13" ht="5.0999999999999996" customHeight="1" x14ac:dyDescent="0.25">
      <c r="A48" s="272"/>
      <c r="B48" s="282"/>
      <c r="C48" s="393"/>
      <c r="D48" s="238"/>
      <c r="E48" s="238"/>
      <c r="F48" s="238"/>
      <c r="G48" s="238"/>
      <c r="H48" s="238"/>
      <c r="I48" s="238"/>
      <c r="J48" s="29"/>
      <c r="K48" s="29"/>
      <c r="L48" s="29"/>
      <c r="M48" s="85"/>
    </row>
    <row r="49" spans="1:13" ht="17.25" customHeight="1" x14ac:dyDescent="0.25">
      <c r="A49" s="269" t="s">
        <v>195</v>
      </c>
      <c r="B49" s="282"/>
      <c r="C49" s="425">
        <f t="shared" ref="C49:M49" si="12">SUM(C50:C51)</f>
        <v>0</v>
      </c>
      <c r="D49" s="33">
        <f t="shared" si="12"/>
        <v>0</v>
      </c>
      <c r="E49" s="33">
        <f t="shared" si="12"/>
        <v>0</v>
      </c>
      <c r="F49" s="33">
        <f t="shared" si="12"/>
        <v>0</v>
      </c>
      <c r="G49" s="33">
        <f t="shared" si="12"/>
        <v>0</v>
      </c>
      <c r="H49" s="33">
        <f t="shared" si="12"/>
        <v>0</v>
      </c>
      <c r="I49" s="33">
        <f t="shared" si="12"/>
        <v>0</v>
      </c>
      <c r="J49" s="33">
        <f>SUM(J50:J51)</f>
        <v>0</v>
      </c>
      <c r="K49" s="33">
        <f>SUM(K50:K51)</f>
        <v>0</v>
      </c>
      <c r="L49" s="33">
        <f t="shared" si="12"/>
        <v>0</v>
      </c>
      <c r="M49" s="103">
        <f t="shared" si="12"/>
        <v>0</v>
      </c>
    </row>
    <row r="50" spans="1:13" ht="11.25" customHeight="1" x14ac:dyDescent="0.25">
      <c r="A50" s="265" t="s">
        <v>563</v>
      </c>
      <c r="B50" s="282"/>
      <c r="C50" s="211"/>
      <c r="D50" s="212"/>
      <c r="E50" s="212"/>
      <c r="F50" s="212"/>
      <c r="G50" s="212"/>
      <c r="H50" s="212"/>
      <c r="I50" s="212"/>
      <c r="J50" s="29">
        <f>SUM(E50:I50)</f>
        <v>0</v>
      </c>
      <c r="K50" s="29">
        <f>IF(D50=0,C50+J50,D50+J50)</f>
        <v>0</v>
      </c>
      <c r="L50" s="212"/>
      <c r="M50" s="213"/>
    </row>
    <row r="51" spans="1:13" ht="11.25" customHeight="1" x14ac:dyDescent="0.25">
      <c r="A51" s="265" t="s">
        <v>239</v>
      </c>
      <c r="B51" s="282"/>
      <c r="C51" s="211"/>
      <c r="D51" s="212"/>
      <c r="E51" s="212"/>
      <c r="F51" s="212"/>
      <c r="G51" s="212"/>
      <c r="H51" s="212"/>
      <c r="I51" s="212"/>
      <c r="J51" s="29">
        <f>SUM(E51:I51)</f>
        <v>0</v>
      </c>
      <c r="K51" s="29">
        <f>IF(D51=0,C51+J51,D51+J51)</f>
        <v>0</v>
      </c>
      <c r="L51" s="212"/>
      <c r="M51" s="213"/>
    </row>
    <row r="52" spans="1:13" ht="5.0999999999999996" customHeight="1" x14ac:dyDescent="0.25">
      <c r="A52" s="272"/>
      <c r="B52" s="282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85"/>
    </row>
    <row r="53" spans="1:13" ht="12.75" customHeight="1" x14ac:dyDescent="0.25">
      <c r="A53" s="23" t="s">
        <v>196</v>
      </c>
      <c r="B53" s="281"/>
      <c r="C53" s="425">
        <f t="shared" ref="C53:M53" si="13">SUM(C54:C65)</f>
        <v>2000</v>
      </c>
      <c r="D53" s="33">
        <f t="shared" si="13"/>
        <v>0</v>
      </c>
      <c r="E53" s="33">
        <f t="shared" si="13"/>
        <v>0</v>
      </c>
      <c r="F53" s="33">
        <f t="shared" si="13"/>
        <v>0</v>
      </c>
      <c r="G53" s="33">
        <f t="shared" si="13"/>
        <v>0</v>
      </c>
      <c r="H53" s="33">
        <f t="shared" si="13"/>
        <v>0</v>
      </c>
      <c r="I53" s="33">
        <f t="shared" si="13"/>
        <v>0</v>
      </c>
      <c r="J53" s="33">
        <f>SUM(J54:J65)</f>
        <v>0</v>
      </c>
      <c r="K53" s="33">
        <f t="shared" si="13"/>
        <v>2000</v>
      </c>
      <c r="L53" s="33">
        <f t="shared" si="13"/>
        <v>0</v>
      </c>
      <c r="M53" s="103">
        <f t="shared" si="13"/>
        <v>0</v>
      </c>
    </row>
    <row r="54" spans="1:13" ht="12.75" customHeight="1" x14ac:dyDescent="0.25">
      <c r="A54" s="271" t="s">
        <v>564</v>
      </c>
      <c r="B54" s="281"/>
      <c r="C54" s="211"/>
      <c r="D54" s="212"/>
      <c r="E54" s="212"/>
      <c r="F54" s="212"/>
      <c r="G54" s="212"/>
      <c r="H54" s="212"/>
      <c r="I54" s="212"/>
      <c r="J54" s="29">
        <f>SUM(E54:I54)</f>
        <v>0</v>
      </c>
      <c r="K54" s="29">
        <f>IF(D54=0,C54+J54,D54+J54)</f>
        <v>0</v>
      </c>
      <c r="L54" s="212"/>
      <c r="M54" s="213"/>
    </row>
    <row r="55" spans="1:13" ht="12.75" customHeight="1" x14ac:dyDescent="0.25">
      <c r="A55" s="271" t="s">
        <v>238</v>
      </c>
      <c r="B55" s="281"/>
      <c r="C55" s="424">
        <f>C81</f>
        <v>0</v>
      </c>
      <c r="D55" s="312">
        <f t="shared" ref="D55:I55" si="14">D81</f>
        <v>0</v>
      </c>
      <c r="E55" s="312">
        <f t="shared" si="14"/>
        <v>0</v>
      </c>
      <c r="F55" s="312">
        <f t="shared" si="14"/>
        <v>0</v>
      </c>
      <c r="G55" s="312">
        <f t="shared" si="14"/>
        <v>0</v>
      </c>
      <c r="H55" s="312">
        <f t="shared" si="14"/>
        <v>0</v>
      </c>
      <c r="I55" s="312">
        <f t="shared" si="14"/>
        <v>0</v>
      </c>
      <c r="J55" s="312">
        <f>SUM(E55:I55)</f>
        <v>0</v>
      </c>
      <c r="K55" s="312">
        <f>IF(D55=0,C55+J55,D55+J55)</f>
        <v>0</v>
      </c>
      <c r="L55" s="312">
        <f>L81</f>
        <v>0</v>
      </c>
      <c r="M55" s="313">
        <f>M81</f>
        <v>0</v>
      </c>
    </row>
    <row r="56" spans="1:13" ht="12.75" customHeight="1" x14ac:dyDescent="0.25">
      <c r="A56" s="271" t="s">
        <v>7</v>
      </c>
      <c r="B56" s="281"/>
      <c r="C56" s="211"/>
      <c r="D56" s="212"/>
      <c r="E56" s="212"/>
      <c r="F56" s="212"/>
      <c r="G56" s="212"/>
      <c r="H56" s="212"/>
      <c r="I56" s="212"/>
      <c r="J56" s="29">
        <f t="shared" ref="J56:J65" si="15">SUM(E56:I56)</f>
        <v>0</v>
      </c>
      <c r="K56" s="29">
        <f t="shared" ref="K56:K65" si="16">IF(D56=0,C56+J56,D56+J56)</f>
        <v>0</v>
      </c>
      <c r="L56" s="212"/>
      <c r="M56" s="213"/>
    </row>
    <row r="57" spans="1:13" ht="12.75" customHeight="1" x14ac:dyDescent="0.25">
      <c r="A57" s="271" t="s">
        <v>565</v>
      </c>
      <c r="B57" s="281"/>
      <c r="C57" s="375">
        <v>2000</v>
      </c>
      <c r="D57" s="212"/>
      <c r="E57" s="212"/>
      <c r="F57" s="212"/>
      <c r="G57" s="212"/>
      <c r="H57" s="212"/>
      <c r="I57" s="212"/>
      <c r="J57" s="29">
        <f t="shared" si="15"/>
        <v>0</v>
      </c>
      <c r="K57" s="29">
        <f t="shared" si="16"/>
        <v>2000</v>
      </c>
      <c r="L57" s="212"/>
      <c r="M57" s="213"/>
    </row>
    <row r="58" spans="1:13" ht="12.75" customHeight="1" x14ac:dyDescent="0.25">
      <c r="A58" s="271" t="s">
        <v>566</v>
      </c>
      <c r="B58" s="281"/>
      <c r="C58" s="211"/>
      <c r="D58" s="212"/>
      <c r="E58" s="212"/>
      <c r="F58" s="212"/>
      <c r="G58" s="212"/>
      <c r="H58" s="212"/>
      <c r="I58" s="212"/>
      <c r="J58" s="29">
        <f t="shared" si="15"/>
        <v>0</v>
      </c>
      <c r="K58" s="29">
        <f t="shared" si="16"/>
        <v>0</v>
      </c>
      <c r="L58" s="212"/>
      <c r="M58" s="213"/>
    </row>
    <row r="59" spans="1:13" ht="12.75" customHeight="1" x14ac:dyDescent="0.25">
      <c r="A59" s="271" t="s">
        <v>8</v>
      </c>
      <c r="B59" s="281"/>
      <c r="C59" s="211"/>
      <c r="D59" s="212"/>
      <c r="E59" s="212"/>
      <c r="F59" s="212"/>
      <c r="G59" s="212"/>
      <c r="H59" s="212"/>
      <c r="I59" s="212"/>
      <c r="J59" s="29">
        <f t="shared" si="15"/>
        <v>0</v>
      </c>
      <c r="K59" s="29">
        <f t="shared" si="16"/>
        <v>0</v>
      </c>
      <c r="L59" s="212"/>
      <c r="M59" s="213"/>
    </row>
    <row r="60" spans="1:13" ht="12.75" customHeight="1" x14ac:dyDescent="0.25">
      <c r="A60" s="271" t="s">
        <v>9</v>
      </c>
      <c r="B60" s="281"/>
      <c r="C60" s="211"/>
      <c r="D60" s="212"/>
      <c r="E60" s="212"/>
      <c r="F60" s="212"/>
      <c r="G60" s="212"/>
      <c r="H60" s="212"/>
      <c r="I60" s="212"/>
      <c r="J60" s="29">
        <f t="shared" si="15"/>
        <v>0</v>
      </c>
      <c r="K60" s="29">
        <f t="shared" si="16"/>
        <v>0</v>
      </c>
      <c r="L60" s="212"/>
      <c r="M60" s="213"/>
    </row>
    <row r="61" spans="1:13" ht="12.75" customHeight="1" x14ac:dyDescent="0.25">
      <c r="A61" s="271" t="s">
        <v>128</v>
      </c>
      <c r="B61" s="281"/>
      <c r="C61" s="211"/>
      <c r="D61" s="212"/>
      <c r="E61" s="212"/>
      <c r="F61" s="212"/>
      <c r="G61" s="212"/>
      <c r="H61" s="212"/>
      <c r="I61" s="212"/>
      <c r="J61" s="29">
        <f t="shared" si="15"/>
        <v>0</v>
      </c>
      <c r="K61" s="29">
        <f t="shared" si="16"/>
        <v>0</v>
      </c>
      <c r="L61" s="212"/>
      <c r="M61" s="213"/>
    </row>
    <row r="62" spans="1:13" ht="12.75" customHeight="1" x14ac:dyDescent="0.25">
      <c r="A62" s="271" t="s">
        <v>567</v>
      </c>
      <c r="B62" s="281"/>
      <c r="C62" s="211"/>
      <c r="D62" s="212"/>
      <c r="E62" s="212"/>
      <c r="F62" s="212"/>
      <c r="G62" s="212"/>
      <c r="H62" s="212"/>
      <c r="I62" s="212"/>
      <c r="J62" s="29">
        <f t="shared" si="15"/>
        <v>0</v>
      </c>
      <c r="K62" s="29">
        <f t="shared" si="16"/>
        <v>0</v>
      </c>
      <c r="L62" s="212"/>
      <c r="M62" s="213"/>
    </row>
    <row r="63" spans="1:13" ht="12.75" customHeight="1" x14ac:dyDescent="0.25">
      <c r="A63" s="271" t="s">
        <v>568</v>
      </c>
      <c r="B63" s="281"/>
      <c r="C63" s="211"/>
      <c r="D63" s="212"/>
      <c r="E63" s="212"/>
      <c r="F63" s="212"/>
      <c r="G63" s="212"/>
      <c r="H63" s="212"/>
      <c r="I63" s="212"/>
      <c r="J63" s="29">
        <f t="shared" si="15"/>
        <v>0</v>
      </c>
      <c r="K63" s="29">
        <f t="shared" si="16"/>
        <v>0</v>
      </c>
      <c r="L63" s="212"/>
      <c r="M63" s="213"/>
    </row>
    <row r="64" spans="1:13" ht="12.75" customHeight="1" x14ac:dyDescent="0.25">
      <c r="A64" s="271" t="s">
        <v>569</v>
      </c>
      <c r="B64" s="281"/>
      <c r="C64" s="211"/>
      <c r="D64" s="212"/>
      <c r="E64" s="212"/>
      <c r="F64" s="212"/>
      <c r="G64" s="212"/>
      <c r="H64" s="212"/>
      <c r="I64" s="212"/>
      <c r="J64" s="29">
        <f t="shared" si="15"/>
        <v>0</v>
      </c>
      <c r="K64" s="29">
        <f t="shared" si="16"/>
        <v>0</v>
      </c>
      <c r="L64" s="212"/>
      <c r="M64" s="213"/>
    </row>
    <row r="65" spans="1:24" ht="12.75" customHeight="1" x14ac:dyDescent="0.25">
      <c r="A65" s="26" t="s">
        <v>239</v>
      </c>
      <c r="B65" s="281"/>
      <c r="C65" s="211"/>
      <c r="D65" s="212"/>
      <c r="E65" s="212"/>
      <c r="F65" s="212"/>
      <c r="G65" s="212"/>
      <c r="H65" s="212"/>
      <c r="I65" s="212"/>
      <c r="J65" s="29">
        <f t="shared" si="15"/>
        <v>0</v>
      </c>
      <c r="K65" s="29">
        <f t="shared" si="16"/>
        <v>0</v>
      </c>
      <c r="L65" s="212"/>
      <c r="M65" s="213"/>
    </row>
    <row r="66" spans="1:24" ht="5.0999999999999996" customHeight="1" x14ac:dyDescent="0.25">
      <c r="A66" s="273"/>
      <c r="B66" s="282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85"/>
    </row>
    <row r="67" spans="1:24" ht="17.25" customHeight="1" x14ac:dyDescent="0.25">
      <c r="A67" s="269" t="s">
        <v>303</v>
      </c>
      <c r="B67" s="282"/>
      <c r="C67" s="425">
        <f t="shared" ref="C67:M67" si="17">SUM(C68:C69)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  <c r="H67" s="33">
        <f t="shared" si="17"/>
        <v>0</v>
      </c>
      <c r="I67" s="33">
        <f t="shared" si="17"/>
        <v>0</v>
      </c>
      <c r="J67" s="33">
        <f>SUM(J68:J69)</f>
        <v>0</v>
      </c>
      <c r="K67" s="33">
        <f t="shared" si="17"/>
        <v>0</v>
      </c>
      <c r="L67" s="33">
        <f t="shared" si="17"/>
        <v>0</v>
      </c>
      <c r="M67" s="103">
        <f t="shared" si="17"/>
        <v>0</v>
      </c>
    </row>
    <row r="68" spans="1:24" ht="11.25" customHeight="1" x14ac:dyDescent="0.25">
      <c r="A68" s="274" t="s">
        <v>318</v>
      </c>
      <c r="B68" s="282"/>
      <c r="C68" s="211"/>
      <c r="D68" s="212"/>
      <c r="E68" s="212"/>
      <c r="F68" s="212"/>
      <c r="G68" s="212"/>
      <c r="H68" s="212"/>
      <c r="I68" s="212"/>
      <c r="J68" s="29">
        <f>SUM(E68:I68)</f>
        <v>0</v>
      </c>
      <c r="K68" s="29">
        <f>IF(D68=0,C68+J68,D68+J68)</f>
        <v>0</v>
      </c>
      <c r="L68" s="212"/>
      <c r="M68" s="213"/>
    </row>
    <row r="69" spans="1:24" ht="11.25" customHeight="1" x14ac:dyDescent="0.25">
      <c r="A69" s="274"/>
      <c r="B69" s="282"/>
      <c r="C69" s="211"/>
      <c r="D69" s="212"/>
      <c r="E69" s="212"/>
      <c r="F69" s="212"/>
      <c r="G69" s="212"/>
      <c r="H69" s="212"/>
      <c r="I69" s="212"/>
      <c r="J69" s="29">
        <f>SUM(E69:I69)</f>
        <v>0</v>
      </c>
      <c r="K69" s="29">
        <f>IF(D69=0,C69+J69,D69+J69)</f>
        <v>0</v>
      </c>
      <c r="L69" s="212"/>
      <c r="M69" s="213"/>
    </row>
    <row r="70" spans="1:24" ht="5.0999999999999996" customHeight="1" x14ac:dyDescent="0.25">
      <c r="A70" s="273"/>
      <c r="B70" s="282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85"/>
    </row>
    <row r="71" spans="1:24" ht="17.25" customHeight="1" x14ac:dyDescent="0.25">
      <c r="A71" s="269" t="s">
        <v>27</v>
      </c>
      <c r="B71" s="282"/>
      <c r="C71" s="425">
        <f t="shared" ref="C71:M71" si="18">SUM(C72:C73)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  <c r="H71" s="33">
        <f t="shared" si="18"/>
        <v>0</v>
      </c>
      <c r="I71" s="33">
        <f t="shared" si="18"/>
        <v>0</v>
      </c>
      <c r="J71" s="33">
        <f>SUM(J72:J73)</f>
        <v>0</v>
      </c>
      <c r="K71" s="33">
        <f t="shared" si="18"/>
        <v>0</v>
      </c>
      <c r="L71" s="33">
        <f t="shared" si="18"/>
        <v>0</v>
      </c>
      <c r="M71" s="103">
        <f t="shared" si="18"/>
        <v>0</v>
      </c>
    </row>
    <row r="72" spans="1:24" ht="11.25" customHeight="1" x14ac:dyDescent="0.25">
      <c r="A72" s="274" t="s">
        <v>318</v>
      </c>
      <c r="B72" s="282"/>
      <c r="C72" s="211"/>
      <c r="D72" s="212"/>
      <c r="E72" s="212"/>
      <c r="F72" s="212"/>
      <c r="G72" s="212"/>
      <c r="H72" s="212"/>
      <c r="I72" s="212"/>
      <c r="J72" s="29">
        <f>SUM(E72:I72)</f>
        <v>0</v>
      </c>
      <c r="K72" s="29">
        <f>IF(D72=0,C72+J72,D72+J72)</f>
        <v>0</v>
      </c>
      <c r="L72" s="212"/>
      <c r="M72" s="213"/>
    </row>
    <row r="73" spans="1:24" ht="11.25" customHeight="1" x14ac:dyDescent="0.25">
      <c r="A73" s="274"/>
      <c r="B73" s="282"/>
      <c r="C73" s="211"/>
      <c r="D73" s="212"/>
      <c r="E73" s="212"/>
      <c r="F73" s="212"/>
      <c r="G73" s="212"/>
      <c r="H73" s="212"/>
      <c r="I73" s="212"/>
      <c r="J73" s="29">
        <f>SUM(E73:I73)</f>
        <v>0</v>
      </c>
      <c r="K73" s="29">
        <f>IF(D73=0,C73+J73,D73+J73)</f>
        <v>0</v>
      </c>
      <c r="L73" s="212"/>
      <c r="M73" s="213"/>
    </row>
    <row r="74" spans="1:24" ht="5.0999999999999996" customHeight="1" x14ac:dyDescent="0.25">
      <c r="A74" s="27"/>
      <c r="B74" s="281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85"/>
    </row>
    <row r="75" spans="1:24" ht="17.25" customHeight="1" x14ac:dyDescent="0.25">
      <c r="A75" s="269" t="s">
        <v>51</v>
      </c>
      <c r="B75" s="282"/>
      <c r="C75" s="425">
        <f t="shared" ref="C75:M75" si="19">SUM(C76:C77)</f>
        <v>0</v>
      </c>
      <c r="D75" s="33">
        <f t="shared" si="19"/>
        <v>0</v>
      </c>
      <c r="E75" s="33">
        <f t="shared" si="19"/>
        <v>0</v>
      </c>
      <c r="F75" s="33">
        <f t="shared" si="19"/>
        <v>0</v>
      </c>
      <c r="G75" s="33">
        <f t="shared" si="19"/>
        <v>0</v>
      </c>
      <c r="H75" s="33">
        <f t="shared" si="19"/>
        <v>0</v>
      </c>
      <c r="I75" s="33">
        <f t="shared" si="19"/>
        <v>0</v>
      </c>
      <c r="J75" s="33">
        <f>SUM(J76:J77)</f>
        <v>0</v>
      </c>
      <c r="K75" s="33">
        <f t="shared" si="19"/>
        <v>0</v>
      </c>
      <c r="L75" s="33">
        <f t="shared" si="19"/>
        <v>0</v>
      </c>
      <c r="M75" s="103">
        <f t="shared" si="19"/>
        <v>0</v>
      </c>
    </row>
    <row r="76" spans="1:24" ht="11.25" customHeight="1" x14ac:dyDescent="0.25">
      <c r="A76" s="271" t="s">
        <v>165</v>
      </c>
      <c r="B76" s="282"/>
      <c r="C76" s="211"/>
      <c r="D76" s="212"/>
      <c r="E76" s="212"/>
      <c r="F76" s="212"/>
      <c r="G76" s="212"/>
      <c r="H76" s="212"/>
      <c r="I76" s="212"/>
      <c r="J76" s="29">
        <f>SUM(E76:I76)</f>
        <v>0</v>
      </c>
      <c r="K76" s="29">
        <f>IF(D76=0,C76+J76,D76+J76)</f>
        <v>0</v>
      </c>
      <c r="L76" s="212"/>
      <c r="M76" s="213"/>
    </row>
    <row r="77" spans="1:24" ht="11.25" customHeight="1" x14ac:dyDescent="0.25">
      <c r="A77" s="275" t="s">
        <v>570</v>
      </c>
      <c r="B77" s="282"/>
      <c r="C77" s="211"/>
      <c r="D77" s="212"/>
      <c r="E77" s="212"/>
      <c r="F77" s="212"/>
      <c r="G77" s="212"/>
      <c r="H77" s="212"/>
      <c r="I77" s="212"/>
      <c r="J77" s="29">
        <f>SUM(E77:I77)</f>
        <v>0</v>
      </c>
      <c r="K77" s="29">
        <f>IF(D77=0,C77+J77,D77+J77)</f>
        <v>0</v>
      </c>
      <c r="L77" s="212"/>
      <c r="M77" s="213"/>
    </row>
    <row r="78" spans="1:24" ht="5.0999999999999996" customHeight="1" x14ac:dyDescent="0.25">
      <c r="A78" s="272"/>
      <c r="B78" s="282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85"/>
    </row>
    <row r="79" spans="1:24" ht="12.75" customHeight="1" x14ac:dyDescent="0.25">
      <c r="A79" s="334" t="s">
        <v>904</v>
      </c>
      <c r="B79" s="284">
        <v>1</v>
      </c>
      <c r="C79" s="36">
        <f t="shared" ref="C79:I79" si="20">C8+C29+C45+C49+C53+C75+C67+C71</f>
        <v>2000</v>
      </c>
      <c r="D79" s="35">
        <f t="shared" si="20"/>
        <v>0</v>
      </c>
      <c r="E79" s="35">
        <f t="shared" si="20"/>
        <v>0</v>
      </c>
      <c r="F79" s="35">
        <f t="shared" si="20"/>
        <v>0</v>
      </c>
      <c r="G79" s="35">
        <f t="shared" si="20"/>
        <v>0</v>
      </c>
      <c r="H79" s="35">
        <f t="shared" si="20"/>
        <v>0</v>
      </c>
      <c r="I79" s="35">
        <f t="shared" si="20"/>
        <v>0</v>
      </c>
      <c r="J79" s="35">
        <f>J8+J29+J45+J49+J53+J71+J75+J67</f>
        <v>0</v>
      </c>
      <c r="K79" s="35">
        <f>K8+K29+K45+K49+K53+K71+K75+K67</f>
        <v>2000</v>
      </c>
      <c r="L79" s="35">
        <f>L8+L29+L45+L49+L53+L75+L67+L71</f>
        <v>0</v>
      </c>
      <c r="M79" s="112">
        <f>M8+M29+M45+M49+M53+M75+M67+M71</f>
        <v>0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351"/>
      <c r="B80" s="352"/>
      <c r="C80" s="426"/>
      <c r="D80" s="32"/>
      <c r="E80" s="32"/>
      <c r="F80" s="32"/>
      <c r="G80" s="32"/>
      <c r="H80" s="32"/>
      <c r="I80" s="32"/>
      <c r="J80" s="32"/>
      <c r="K80" s="32"/>
      <c r="L80" s="32"/>
      <c r="M80" s="418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3" ht="12.75" customHeight="1" x14ac:dyDescent="0.25">
      <c r="A81" s="277" t="s">
        <v>238</v>
      </c>
      <c r="B81" s="276"/>
      <c r="C81" s="278">
        <f t="shared" ref="C81:I81" si="21">SUM(C82:C85)</f>
        <v>0</v>
      </c>
      <c r="D81" s="279">
        <f t="shared" si="21"/>
        <v>0</v>
      </c>
      <c r="E81" s="279">
        <f t="shared" si="21"/>
        <v>0</v>
      </c>
      <c r="F81" s="279">
        <f t="shared" si="21"/>
        <v>0</v>
      </c>
      <c r="G81" s="279">
        <f t="shared" si="21"/>
        <v>0</v>
      </c>
      <c r="H81" s="279">
        <f t="shared" si="21"/>
        <v>0</v>
      </c>
      <c r="I81" s="279">
        <f t="shared" si="21"/>
        <v>0</v>
      </c>
      <c r="J81" s="279">
        <f>SUM(E81:I81)</f>
        <v>0</v>
      </c>
      <c r="K81" s="279">
        <f>IF(D81=0,C81+J81,D81+J81)</f>
        <v>0</v>
      </c>
      <c r="L81" s="279">
        <f>SUM(L82:L85)</f>
        <v>0</v>
      </c>
      <c r="M81" s="280">
        <f>SUM(M82:M85)</f>
        <v>0</v>
      </c>
    </row>
    <row r="82" spans="1:23" ht="12.75" customHeight="1" x14ac:dyDescent="0.25">
      <c r="A82" s="26" t="s">
        <v>92</v>
      </c>
      <c r="B82" s="281"/>
      <c r="C82" s="211"/>
      <c r="D82" s="212"/>
      <c r="E82" s="212"/>
      <c r="F82" s="212"/>
      <c r="G82" s="212"/>
      <c r="H82" s="212"/>
      <c r="I82" s="212"/>
      <c r="J82" s="33">
        <f>SUM(E82:I82)</f>
        <v>0</v>
      </c>
      <c r="K82" s="33">
        <f>IF(D82=0,C82+J82,D82+J82)</f>
        <v>0</v>
      </c>
      <c r="L82" s="212"/>
      <c r="M82" s="213"/>
    </row>
    <row r="83" spans="1:23" ht="12.75" customHeight="1" x14ac:dyDescent="0.25">
      <c r="A83" s="26" t="s">
        <v>129</v>
      </c>
      <c r="B83" s="281"/>
      <c r="C83" s="211"/>
      <c r="D83" s="212"/>
      <c r="E83" s="212"/>
      <c r="F83" s="212"/>
      <c r="G83" s="212"/>
      <c r="H83" s="212"/>
      <c r="I83" s="212"/>
      <c r="J83" s="33">
        <f>SUM(E83:I83)</f>
        <v>0</v>
      </c>
      <c r="K83" s="33">
        <f>IF(D83=0,C83+J83,D83+J83)</f>
        <v>0</v>
      </c>
      <c r="L83" s="212"/>
      <c r="M83" s="213"/>
    </row>
    <row r="84" spans="1:23" ht="12.75" customHeight="1" x14ac:dyDescent="0.25">
      <c r="A84" s="26" t="s">
        <v>130</v>
      </c>
      <c r="B84" s="281"/>
      <c r="C84" s="211"/>
      <c r="D84" s="212"/>
      <c r="E84" s="212"/>
      <c r="F84" s="212"/>
      <c r="G84" s="212"/>
      <c r="H84" s="212"/>
      <c r="I84" s="212"/>
      <c r="J84" s="33">
        <f>SUM(E84:I84)</f>
        <v>0</v>
      </c>
      <c r="K84" s="33">
        <f>IF(D84=0,C84+J84,D84+J84)</f>
        <v>0</v>
      </c>
      <c r="L84" s="212"/>
      <c r="M84" s="213"/>
    </row>
    <row r="85" spans="1:23" ht="12.75" customHeight="1" x14ac:dyDescent="0.25">
      <c r="A85" s="80" t="s">
        <v>131</v>
      </c>
      <c r="B85" s="294"/>
      <c r="C85" s="229"/>
      <c r="D85" s="230"/>
      <c r="E85" s="230"/>
      <c r="F85" s="230"/>
      <c r="G85" s="230"/>
      <c r="H85" s="230"/>
      <c r="I85" s="230"/>
      <c r="J85" s="50">
        <f>SUM(E85:I85)</f>
        <v>0</v>
      </c>
      <c r="K85" s="50">
        <f>IF(D85=0,C85+J85,D85+J85)</f>
        <v>0</v>
      </c>
      <c r="L85" s="230"/>
      <c r="M85" s="233"/>
    </row>
    <row r="86" spans="1:23" ht="12.75" customHeight="1" x14ac:dyDescent="0.25">
      <c r="A86" s="41"/>
      <c r="B86" s="38"/>
      <c r="C86" s="32"/>
      <c r="D86" s="32"/>
      <c r="E86" s="32"/>
      <c r="F86" s="32"/>
      <c r="G86" s="32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ht="12.75" customHeight="1" x14ac:dyDescent="0.25">
      <c r="A87" s="37" t="str">
        <f>head27a</f>
        <v>References</v>
      </c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23" ht="12.75" customHeight="1" x14ac:dyDescent="0.25">
      <c r="A88" s="53" t="s">
        <v>571</v>
      </c>
      <c r="B88" s="38"/>
      <c r="C88" s="41"/>
      <c r="D88" s="41"/>
      <c r="E88" s="42"/>
      <c r="F88" s="42"/>
      <c r="G88" s="42"/>
      <c r="H88" s="42"/>
      <c r="I88" s="42"/>
      <c r="J88" s="42"/>
      <c r="K88" s="42"/>
    </row>
    <row r="89" spans="1:23" ht="11.25" customHeight="1" x14ac:dyDescent="0.25">
      <c r="A89" s="46"/>
      <c r="B89" s="38"/>
      <c r="C89" s="41"/>
      <c r="D89" s="41"/>
      <c r="E89" s="42"/>
      <c r="F89" s="42"/>
      <c r="G89" s="42"/>
      <c r="H89" s="42"/>
      <c r="I89" s="42"/>
      <c r="J89" s="42"/>
      <c r="K89" s="42"/>
    </row>
    <row r="90" spans="1:23" ht="11.25" customHeight="1" x14ac:dyDescent="0.25">
      <c r="A90" s="55" t="s">
        <v>241</v>
      </c>
      <c r="B90" s="43"/>
      <c r="C90" s="71">
        <f>C79-('E3-Capex'!C79-SE6b!C79)</f>
        <v>0</v>
      </c>
      <c r="D90" s="71">
        <f>D79-('E3-Capex'!D79-SE6b!D79)</f>
        <v>0</v>
      </c>
      <c r="E90" s="71">
        <f>E79-('E3-Capex'!E79-SE6b!E79)</f>
        <v>0</v>
      </c>
      <c r="F90" s="71">
        <f>F79-('E3-Capex'!F79-SE6b!F79)</f>
        <v>0</v>
      </c>
      <c r="G90" s="71">
        <f>G79-('E3-Capex'!G79-SE6b!G79)</f>
        <v>0</v>
      </c>
      <c r="H90" s="71">
        <f>H79-('E3-Capex'!H79-SE6b!H79)</f>
        <v>0</v>
      </c>
      <c r="I90" s="71">
        <f>I79-('E3-Capex'!I79-SE6b!I79)</f>
        <v>0</v>
      </c>
      <c r="J90" s="71">
        <f>J79-('E3-Capex'!J79-SE6b!J79)</f>
        <v>0</v>
      </c>
      <c r="K90" s="71">
        <f>K79-('E3-Capex'!K79-SE6b!K79)</f>
        <v>0</v>
      </c>
      <c r="L90" s="71">
        <f>L79-('E3-Capex'!L79-SE6b!L79)</f>
        <v>0</v>
      </c>
      <c r="M90" s="71">
        <f>M79-('E3-Capex'!M79-SE6b!M79)</f>
        <v>0</v>
      </c>
    </row>
    <row r="91" spans="1:23" ht="11.25" customHeight="1" x14ac:dyDescent="0.25"/>
    <row r="92" spans="1:23" ht="11.25" customHeight="1" x14ac:dyDescent="0.25"/>
    <row r="93" spans="1:23" ht="11.25" customHeight="1" x14ac:dyDescent="0.25"/>
    <row r="94" spans="1:23" ht="11.25" customHeight="1" x14ac:dyDescent="0.25"/>
    <row r="95" spans="1:23" ht="11.25" customHeight="1" x14ac:dyDescent="0.25"/>
    <row r="96" spans="1:23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</sheetData>
  <sheetProtection sheet="1" objects="1" scenarios="1"/>
  <mergeCells count="3">
    <mergeCell ref="A2:A3"/>
    <mergeCell ref="B2:B3"/>
    <mergeCell ref="C2:K2"/>
  </mergeCells>
  <phoneticPr fontId="2" type="noConversion"/>
  <dataValidations count="1">
    <dataValidation type="whole" allowBlank="1" showInputMessage="1" showErrorMessage="1" sqref="C82:I85 K10:M11 C10:I11 C13:I15 K13:M15 C17:I19 K17:M19 C21:I22 K21:M22 C24:I27 M24:M27 C30:I43 K30:M43 C46:I47 K46:M47 C50:I51 M50:M51 C54:I54 M56:M65 C68:I69 K68:M69 C72:I73 M72:M73 C76:I77 L54:M54 K24:L28 K50:L52 K82:M85 K54:K65 C56:I65 C55:H55 L55:L65 K72:L74 K76:M77">
      <formula1>-99999999999</formula1>
      <formula2>999999999999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4FCDF"/>
  </sheetPr>
  <dimension ref="A1:X125"/>
  <sheetViews>
    <sheetView showGridLines="0" topLeftCell="A82" zoomScale="86" zoomScaleNormal="86" workbookViewId="0">
      <selection activeCell="A2" sqref="A2:M85"/>
    </sheetView>
  </sheetViews>
  <sheetFormatPr defaultRowHeight="12.75" x14ac:dyDescent="0.25"/>
  <cols>
    <col min="1" max="1" width="35.7109375" style="20" customWidth="1"/>
    <col min="2" max="2" width="3.140625" style="47" customWidth="1"/>
    <col min="3" max="3" width="10.42578125" style="20" bestFit="1" customWidth="1"/>
    <col min="4" max="4" width="10.7109375" style="20" customWidth="1"/>
    <col min="5" max="5" width="8.7109375" style="20" customWidth="1"/>
    <col min="6" max="6" width="10.85546875" style="20" customWidth="1"/>
    <col min="7" max="7" width="12.42578125" style="20" customWidth="1"/>
    <col min="8" max="8" width="13.42578125" style="20" customWidth="1"/>
    <col min="9" max="9" width="11.28515625" style="20" customWidth="1"/>
    <col min="10" max="10" width="10.140625" style="20" customWidth="1"/>
    <col min="11" max="11" width="11.140625" style="20" customWidth="1"/>
    <col min="12" max="12" width="12.28515625" style="20" customWidth="1"/>
    <col min="13" max="13" width="11.285156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 x14ac:dyDescent="0.25">
      <c r="A1" s="19" t="str">
        <f>MEAB10b&amp;" - "&amp;Date</f>
        <v>Greater Tzaneen Development Agency - Supporting Table SE6b Adjustments capital expenditure on renewal of existing assets by asset category - 29/02/2016</v>
      </c>
    </row>
    <row r="2" spans="1:13" ht="28.5" customHeight="1" x14ac:dyDescent="0.25">
      <c r="A2" s="440" t="str">
        <f>desc</f>
        <v>Description</v>
      </c>
      <c r="B2" s="440" t="str">
        <f>head27</f>
        <v>Ref</v>
      </c>
      <c r="C2" s="437" t="s">
        <v>911</v>
      </c>
      <c r="D2" s="434"/>
      <c r="E2" s="434"/>
      <c r="F2" s="434"/>
      <c r="G2" s="434"/>
      <c r="H2" s="434"/>
      <c r="I2" s="434"/>
      <c r="J2" s="434"/>
      <c r="K2" s="435"/>
      <c r="L2" s="369" t="s">
        <v>912</v>
      </c>
      <c r="M2" s="108" t="s">
        <v>913</v>
      </c>
    </row>
    <row r="3" spans="1:13" ht="33" customHeight="1" x14ac:dyDescent="0.25">
      <c r="A3" s="441"/>
      <c r="B3" s="441"/>
      <c r="C3" s="419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0"/>
      <c r="C4" s="420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294">
        <v>1</v>
      </c>
      <c r="C5" s="421" t="s">
        <v>107</v>
      </c>
      <c r="D5" s="368" t="s">
        <v>316</v>
      </c>
      <c r="E5" s="368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5.0999999999999996" customHeight="1" x14ac:dyDescent="0.25">
      <c r="A7" s="23"/>
      <c r="B7" s="281"/>
      <c r="C7" s="3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1.25" customHeight="1" x14ac:dyDescent="0.25">
      <c r="A8" s="269" t="s">
        <v>167</v>
      </c>
      <c r="B8" s="282"/>
      <c r="C8" s="422">
        <f t="shared" ref="C8:M8" si="0">C9+C12+C16+C20+C23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371">
        <f>SUM(E8:I8)</f>
        <v>0</v>
      </c>
      <c r="K8" s="371">
        <f>IF(D8=0,C8+J8,D8+J8)</f>
        <v>0</v>
      </c>
      <c r="L8" s="292">
        <f t="shared" si="0"/>
        <v>0</v>
      </c>
      <c r="M8" s="295">
        <f t="shared" si="0"/>
        <v>0</v>
      </c>
    </row>
    <row r="9" spans="1:13" s="328" customFormat="1" ht="13.5" x14ac:dyDescent="0.25">
      <c r="A9" s="265" t="s">
        <v>539</v>
      </c>
      <c r="B9" s="282"/>
      <c r="C9" s="423">
        <f t="shared" ref="C9:M9" si="1">SUM(C10:C11)</f>
        <v>0</v>
      </c>
      <c r="D9" s="308">
        <f t="shared" si="1"/>
        <v>0</v>
      </c>
      <c r="E9" s="308">
        <f t="shared" si="1"/>
        <v>0</v>
      </c>
      <c r="F9" s="308">
        <f t="shared" si="1"/>
        <v>0</v>
      </c>
      <c r="G9" s="308">
        <f t="shared" si="1"/>
        <v>0</v>
      </c>
      <c r="H9" s="308">
        <f t="shared" si="1"/>
        <v>0</v>
      </c>
      <c r="I9" s="308">
        <f t="shared" si="1"/>
        <v>0</v>
      </c>
      <c r="J9" s="29">
        <f t="shared" ref="J9:J28" si="2">SUM(E9:I9)</f>
        <v>0</v>
      </c>
      <c r="K9" s="29">
        <f t="shared" ref="K9:K28" si="3">IF(D9=0,C9+J9,D9+J9)</f>
        <v>0</v>
      </c>
      <c r="L9" s="308">
        <f t="shared" si="1"/>
        <v>0</v>
      </c>
      <c r="M9" s="309">
        <f t="shared" si="1"/>
        <v>0</v>
      </c>
    </row>
    <row r="10" spans="1:13" s="328" customFormat="1" ht="13.5" x14ac:dyDescent="0.25">
      <c r="A10" s="270" t="s">
        <v>540</v>
      </c>
      <c r="B10" s="282"/>
      <c r="C10" s="211"/>
      <c r="D10" s="212"/>
      <c r="E10" s="212"/>
      <c r="F10" s="212"/>
      <c r="G10" s="212"/>
      <c r="H10" s="212"/>
      <c r="I10" s="212"/>
      <c r="J10" s="29">
        <f t="shared" si="2"/>
        <v>0</v>
      </c>
      <c r="K10" s="29">
        <f t="shared" si="3"/>
        <v>0</v>
      </c>
      <c r="L10" s="212"/>
      <c r="M10" s="213"/>
    </row>
    <row r="11" spans="1:13" s="328" customFormat="1" ht="13.5" x14ac:dyDescent="0.25">
      <c r="A11" s="270" t="s">
        <v>541</v>
      </c>
      <c r="B11" s="282"/>
      <c r="C11" s="211"/>
      <c r="D11" s="212"/>
      <c r="E11" s="212"/>
      <c r="F11" s="212"/>
      <c r="G11" s="212"/>
      <c r="H11" s="212"/>
      <c r="I11" s="212"/>
      <c r="J11" s="29">
        <f t="shared" si="2"/>
        <v>0</v>
      </c>
      <c r="K11" s="29">
        <f t="shared" si="3"/>
        <v>0</v>
      </c>
      <c r="L11" s="212"/>
      <c r="M11" s="213"/>
    </row>
    <row r="12" spans="1:13" s="328" customFormat="1" ht="13.5" x14ac:dyDescent="0.25">
      <c r="A12" s="265" t="s">
        <v>542</v>
      </c>
      <c r="B12" s="282"/>
      <c r="C12" s="424">
        <f t="shared" ref="C12:M12" si="4">SUM(C13:C15)</f>
        <v>0</v>
      </c>
      <c r="D12" s="312">
        <f t="shared" si="4"/>
        <v>0</v>
      </c>
      <c r="E12" s="312">
        <f t="shared" si="4"/>
        <v>0</v>
      </c>
      <c r="F12" s="312">
        <f t="shared" si="4"/>
        <v>0</v>
      </c>
      <c r="G12" s="312">
        <f t="shared" si="4"/>
        <v>0</v>
      </c>
      <c r="H12" s="312">
        <f t="shared" si="4"/>
        <v>0</v>
      </c>
      <c r="I12" s="312">
        <f t="shared" si="4"/>
        <v>0</v>
      </c>
      <c r="J12" s="29">
        <f t="shared" si="2"/>
        <v>0</v>
      </c>
      <c r="K12" s="29">
        <f t="shared" si="3"/>
        <v>0</v>
      </c>
      <c r="L12" s="312">
        <f t="shared" si="4"/>
        <v>0</v>
      </c>
      <c r="M12" s="313">
        <f t="shared" si="4"/>
        <v>0</v>
      </c>
    </row>
    <row r="13" spans="1:13" s="328" customFormat="1" ht="13.5" x14ac:dyDescent="0.25">
      <c r="A13" s="270" t="s">
        <v>543</v>
      </c>
      <c r="B13" s="282"/>
      <c r="C13" s="211"/>
      <c r="D13" s="212"/>
      <c r="E13" s="212"/>
      <c r="F13" s="212"/>
      <c r="G13" s="212"/>
      <c r="H13" s="212"/>
      <c r="I13" s="212"/>
      <c r="J13" s="29">
        <f t="shared" si="2"/>
        <v>0</v>
      </c>
      <c r="K13" s="29">
        <f t="shared" si="3"/>
        <v>0</v>
      </c>
      <c r="L13" s="212"/>
      <c r="M13" s="213"/>
    </row>
    <row r="14" spans="1:13" s="328" customFormat="1" ht="13.5" x14ac:dyDescent="0.25">
      <c r="A14" s="270" t="s">
        <v>544</v>
      </c>
      <c r="B14" s="282"/>
      <c r="C14" s="211"/>
      <c r="D14" s="212"/>
      <c r="E14" s="212"/>
      <c r="F14" s="212"/>
      <c r="G14" s="212"/>
      <c r="H14" s="212"/>
      <c r="I14" s="212"/>
      <c r="J14" s="29">
        <f t="shared" si="2"/>
        <v>0</v>
      </c>
      <c r="K14" s="29">
        <f t="shared" si="3"/>
        <v>0</v>
      </c>
      <c r="L14" s="212"/>
      <c r="M14" s="213"/>
    </row>
    <row r="15" spans="1:13" s="328" customFormat="1" ht="13.5" x14ac:dyDescent="0.25">
      <c r="A15" s="270" t="s">
        <v>48</v>
      </c>
      <c r="B15" s="282"/>
      <c r="C15" s="211"/>
      <c r="D15" s="212"/>
      <c r="E15" s="212"/>
      <c r="F15" s="212"/>
      <c r="G15" s="212"/>
      <c r="H15" s="212"/>
      <c r="I15" s="212"/>
      <c r="J15" s="29">
        <f t="shared" si="2"/>
        <v>0</v>
      </c>
      <c r="K15" s="29">
        <f t="shared" si="3"/>
        <v>0</v>
      </c>
      <c r="L15" s="212"/>
      <c r="M15" s="213"/>
    </row>
    <row r="16" spans="1:13" s="328" customFormat="1" ht="13.5" x14ac:dyDescent="0.25">
      <c r="A16" s="271" t="s">
        <v>545</v>
      </c>
      <c r="B16" s="283"/>
      <c r="C16" s="424">
        <f t="shared" ref="C16:M16" si="5">SUM(C17:C19)</f>
        <v>0</v>
      </c>
      <c r="D16" s="312">
        <f t="shared" si="5"/>
        <v>0</v>
      </c>
      <c r="E16" s="312">
        <f t="shared" si="5"/>
        <v>0</v>
      </c>
      <c r="F16" s="312">
        <f t="shared" si="5"/>
        <v>0</v>
      </c>
      <c r="G16" s="312">
        <f t="shared" si="5"/>
        <v>0</v>
      </c>
      <c r="H16" s="312">
        <f t="shared" si="5"/>
        <v>0</v>
      </c>
      <c r="I16" s="312">
        <f t="shared" si="5"/>
        <v>0</v>
      </c>
      <c r="J16" s="29">
        <f t="shared" si="2"/>
        <v>0</v>
      </c>
      <c r="K16" s="29">
        <f t="shared" si="3"/>
        <v>0</v>
      </c>
      <c r="L16" s="312">
        <f t="shared" si="5"/>
        <v>0</v>
      </c>
      <c r="M16" s="313">
        <f t="shared" si="5"/>
        <v>0</v>
      </c>
    </row>
    <row r="17" spans="1:13" s="328" customFormat="1" ht="13.5" x14ac:dyDescent="0.25">
      <c r="A17" s="270" t="s">
        <v>546</v>
      </c>
      <c r="B17" s="282"/>
      <c r="C17" s="211"/>
      <c r="D17" s="212"/>
      <c r="E17" s="212"/>
      <c r="F17" s="212"/>
      <c r="G17" s="212"/>
      <c r="H17" s="212"/>
      <c r="I17" s="212"/>
      <c r="J17" s="29">
        <f t="shared" si="2"/>
        <v>0</v>
      </c>
      <c r="K17" s="29">
        <f t="shared" si="3"/>
        <v>0</v>
      </c>
      <c r="L17" s="212"/>
      <c r="M17" s="213"/>
    </row>
    <row r="18" spans="1:13" s="328" customFormat="1" ht="13.5" x14ac:dyDescent="0.25">
      <c r="A18" s="270" t="s">
        <v>547</v>
      </c>
      <c r="B18" s="282"/>
      <c r="C18" s="211"/>
      <c r="D18" s="212"/>
      <c r="E18" s="212"/>
      <c r="F18" s="212"/>
      <c r="G18" s="212"/>
      <c r="H18" s="212"/>
      <c r="I18" s="212"/>
      <c r="J18" s="29">
        <f t="shared" si="2"/>
        <v>0</v>
      </c>
      <c r="K18" s="29">
        <f t="shared" si="3"/>
        <v>0</v>
      </c>
      <c r="L18" s="212"/>
      <c r="M18" s="213"/>
    </row>
    <row r="19" spans="1:13" s="328" customFormat="1" ht="13.5" x14ac:dyDescent="0.25">
      <c r="A19" s="270" t="s">
        <v>548</v>
      </c>
      <c r="B19" s="282"/>
      <c r="C19" s="211"/>
      <c r="D19" s="212"/>
      <c r="E19" s="212"/>
      <c r="F19" s="212"/>
      <c r="G19" s="212"/>
      <c r="H19" s="212"/>
      <c r="I19" s="212"/>
      <c r="J19" s="29">
        <f t="shared" si="2"/>
        <v>0</v>
      </c>
      <c r="K19" s="29">
        <f t="shared" si="3"/>
        <v>0</v>
      </c>
      <c r="L19" s="212"/>
      <c r="M19" s="213"/>
    </row>
    <row r="20" spans="1:13" s="328" customFormat="1" ht="13.5" x14ac:dyDescent="0.25">
      <c r="A20" s="271" t="s">
        <v>549</v>
      </c>
      <c r="B20" s="282"/>
      <c r="C20" s="424">
        <f t="shared" ref="C20:M20" si="6">SUM(C21:C22)</f>
        <v>0</v>
      </c>
      <c r="D20" s="312">
        <f t="shared" si="6"/>
        <v>0</v>
      </c>
      <c r="E20" s="312">
        <f t="shared" si="6"/>
        <v>0</v>
      </c>
      <c r="F20" s="312">
        <f t="shared" si="6"/>
        <v>0</v>
      </c>
      <c r="G20" s="312">
        <f t="shared" si="6"/>
        <v>0</v>
      </c>
      <c r="H20" s="312">
        <f t="shared" si="6"/>
        <v>0</v>
      </c>
      <c r="I20" s="312">
        <f t="shared" si="6"/>
        <v>0</v>
      </c>
      <c r="J20" s="29">
        <f t="shared" si="2"/>
        <v>0</v>
      </c>
      <c r="K20" s="29">
        <f t="shared" si="3"/>
        <v>0</v>
      </c>
      <c r="L20" s="312">
        <f t="shared" si="6"/>
        <v>0</v>
      </c>
      <c r="M20" s="313">
        <f t="shared" si="6"/>
        <v>0</v>
      </c>
    </row>
    <row r="21" spans="1:13" s="328" customFormat="1" ht="13.5" x14ac:dyDescent="0.25">
      <c r="A21" s="270" t="s">
        <v>548</v>
      </c>
      <c r="B21" s="282"/>
      <c r="C21" s="211"/>
      <c r="D21" s="212"/>
      <c r="E21" s="212"/>
      <c r="F21" s="212"/>
      <c r="G21" s="212"/>
      <c r="H21" s="212"/>
      <c r="I21" s="212"/>
      <c r="J21" s="29">
        <f t="shared" si="2"/>
        <v>0</v>
      </c>
      <c r="K21" s="29">
        <f t="shared" si="3"/>
        <v>0</v>
      </c>
      <c r="L21" s="212"/>
      <c r="M21" s="213"/>
    </row>
    <row r="22" spans="1:13" s="328" customFormat="1" ht="13.5" x14ac:dyDescent="0.25">
      <c r="A22" s="270" t="s">
        <v>550</v>
      </c>
      <c r="B22" s="282"/>
      <c r="C22" s="211"/>
      <c r="D22" s="212"/>
      <c r="E22" s="212"/>
      <c r="F22" s="212"/>
      <c r="G22" s="212"/>
      <c r="H22" s="212"/>
      <c r="I22" s="212"/>
      <c r="J22" s="29">
        <f t="shared" si="2"/>
        <v>0</v>
      </c>
      <c r="K22" s="29">
        <f t="shared" si="3"/>
        <v>0</v>
      </c>
      <c r="L22" s="212"/>
      <c r="M22" s="213"/>
    </row>
    <row r="23" spans="1:13" s="328" customFormat="1" ht="13.5" x14ac:dyDescent="0.25">
      <c r="A23" s="265" t="s">
        <v>551</v>
      </c>
      <c r="B23" s="282"/>
      <c r="C23" s="424">
        <f t="shared" ref="C23:M23" si="7">SUM(C24:C27)</f>
        <v>0</v>
      </c>
      <c r="D23" s="312">
        <f t="shared" si="7"/>
        <v>0</v>
      </c>
      <c r="E23" s="312">
        <f t="shared" si="7"/>
        <v>0</v>
      </c>
      <c r="F23" s="312">
        <f t="shared" si="7"/>
        <v>0</v>
      </c>
      <c r="G23" s="312">
        <f t="shared" si="7"/>
        <v>0</v>
      </c>
      <c r="H23" s="312">
        <f t="shared" si="7"/>
        <v>0</v>
      </c>
      <c r="I23" s="312">
        <f t="shared" si="7"/>
        <v>0</v>
      </c>
      <c r="J23" s="29">
        <f t="shared" si="2"/>
        <v>0</v>
      </c>
      <c r="K23" s="29">
        <f t="shared" si="3"/>
        <v>0</v>
      </c>
      <c r="L23" s="312">
        <f t="shared" si="7"/>
        <v>0</v>
      </c>
      <c r="M23" s="313">
        <f t="shared" si="7"/>
        <v>0</v>
      </c>
    </row>
    <row r="24" spans="1:13" s="328" customFormat="1" ht="13.5" x14ac:dyDescent="0.25">
      <c r="A24" s="270" t="s">
        <v>92</v>
      </c>
      <c r="B24" s="282"/>
      <c r="C24" s="211"/>
      <c r="D24" s="212"/>
      <c r="E24" s="212"/>
      <c r="F24" s="212"/>
      <c r="G24" s="212"/>
      <c r="H24" s="212"/>
      <c r="I24" s="212"/>
      <c r="J24" s="29">
        <f t="shared" si="2"/>
        <v>0</v>
      </c>
      <c r="K24" s="29">
        <f t="shared" si="3"/>
        <v>0</v>
      </c>
      <c r="L24" s="212"/>
      <c r="M24" s="213"/>
    </row>
    <row r="25" spans="1:13" s="328" customFormat="1" ht="13.5" x14ac:dyDescent="0.25">
      <c r="A25" s="270" t="s">
        <v>552</v>
      </c>
      <c r="B25" s="282">
        <v>2</v>
      </c>
      <c r="C25" s="211"/>
      <c r="D25" s="212"/>
      <c r="E25" s="212"/>
      <c r="F25" s="212"/>
      <c r="G25" s="212"/>
      <c r="H25" s="212"/>
      <c r="I25" s="212"/>
      <c r="J25" s="29">
        <f t="shared" si="2"/>
        <v>0</v>
      </c>
      <c r="K25" s="29">
        <f t="shared" si="3"/>
        <v>0</v>
      </c>
      <c r="L25" s="212"/>
      <c r="M25" s="213"/>
    </row>
    <row r="26" spans="1:13" s="328" customFormat="1" ht="13.5" x14ac:dyDescent="0.25">
      <c r="A26" s="270" t="s">
        <v>49</v>
      </c>
      <c r="B26" s="282"/>
      <c r="C26" s="211"/>
      <c r="D26" s="212"/>
      <c r="E26" s="212"/>
      <c r="F26" s="212"/>
      <c r="G26" s="212"/>
      <c r="H26" s="212"/>
      <c r="I26" s="212"/>
      <c r="J26" s="29">
        <f t="shared" si="2"/>
        <v>0</v>
      </c>
      <c r="K26" s="29">
        <f t="shared" si="3"/>
        <v>0</v>
      </c>
      <c r="L26" s="212"/>
      <c r="M26" s="213"/>
    </row>
    <row r="27" spans="1:13" s="328" customFormat="1" ht="13.5" x14ac:dyDescent="0.25">
      <c r="A27" s="270" t="s">
        <v>239</v>
      </c>
      <c r="B27" s="282">
        <v>3</v>
      </c>
      <c r="C27" s="211"/>
      <c r="D27" s="212"/>
      <c r="E27" s="212"/>
      <c r="F27" s="212"/>
      <c r="G27" s="212"/>
      <c r="H27" s="212"/>
      <c r="I27" s="212"/>
      <c r="J27" s="29">
        <f t="shared" si="2"/>
        <v>0</v>
      </c>
      <c r="K27" s="29">
        <f t="shared" si="3"/>
        <v>0</v>
      </c>
      <c r="L27" s="212"/>
      <c r="M27" s="213"/>
    </row>
    <row r="28" spans="1:13" ht="5.0999999999999996" customHeight="1" x14ac:dyDescent="0.25">
      <c r="A28" s="27"/>
      <c r="B28" s="281"/>
      <c r="C28" s="30"/>
      <c r="D28" s="29"/>
      <c r="E28" s="29"/>
      <c r="F28" s="29"/>
      <c r="G28" s="29"/>
      <c r="H28" s="29"/>
      <c r="I28" s="29"/>
      <c r="J28" s="29">
        <f t="shared" si="2"/>
        <v>0</v>
      </c>
      <c r="K28" s="29">
        <f t="shared" si="3"/>
        <v>0</v>
      </c>
      <c r="L28" s="29"/>
      <c r="M28" s="85"/>
    </row>
    <row r="29" spans="1:13" ht="12.75" customHeight="1" x14ac:dyDescent="0.25">
      <c r="A29" s="23" t="s">
        <v>365</v>
      </c>
      <c r="B29" s="281"/>
      <c r="C29" s="425">
        <f t="shared" ref="C29:M29" si="8">SUM(C30:C43)</f>
        <v>0</v>
      </c>
      <c r="D29" s="33">
        <f t="shared" si="8"/>
        <v>0</v>
      </c>
      <c r="E29" s="33">
        <f t="shared" si="8"/>
        <v>0</v>
      </c>
      <c r="F29" s="33">
        <f t="shared" si="8"/>
        <v>0</v>
      </c>
      <c r="G29" s="33">
        <f t="shared" si="8"/>
        <v>0</v>
      </c>
      <c r="H29" s="33">
        <f t="shared" si="8"/>
        <v>0</v>
      </c>
      <c r="I29" s="33">
        <f t="shared" si="8"/>
        <v>0</v>
      </c>
      <c r="J29" s="33">
        <f>SUM(E29:I29)</f>
        <v>0</v>
      </c>
      <c r="K29" s="33">
        <f>IF(D29=0,C29+J29,D29+J29)</f>
        <v>0</v>
      </c>
      <c r="L29" s="33">
        <f t="shared" si="8"/>
        <v>0</v>
      </c>
      <c r="M29" s="103">
        <f t="shared" si="8"/>
        <v>0</v>
      </c>
    </row>
    <row r="30" spans="1:13" ht="12.75" customHeight="1" x14ac:dyDescent="0.25">
      <c r="A30" s="265" t="s">
        <v>553</v>
      </c>
      <c r="B30" s="281"/>
      <c r="C30" s="211"/>
      <c r="D30" s="212"/>
      <c r="E30" s="212"/>
      <c r="F30" s="212"/>
      <c r="G30" s="212"/>
      <c r="H30" s="212"/>
      <c r="I30" s="212"/>
      <c r="J30" s="29">
        <f t="shared" ref="J30:J41" si="9">SUM(E30:I30)</f>
        <v>0</v>
      </c>
      <c r="K30" s="29">
        <f t="shared" ref="K30:K41" si="10">IF(D30=0,C30+J30,D30+J30)</f>
        <v>0</v>
      </c>
      <c r="L30" s="212"/>
      <c r="M30" s="213"/>
    </row>
    <row r="31" spans="1:13" ht="12.75" customHeight="1" x14ac:dyDescent="0.25">
      <c r="A31" s="265" t="s">
        <v>554</v>
      </c>
      <c r="B31" s="281"/>
      <c r="C31" s="211"/>
      <c r="D31" s="212"/>
      <c r="E31" s="212"/>
      <c r="F31" s="212"/>
      <c r="G31" s="212"/>
      <c r="H31" s="212"/>
      <c r="I31" s="212"/>
      <c r="J31" s="29">
        <f t="shared" si="9"/>
        <v>0</v>
      </c>
      <c r="K31" s="29">
        <f t="shared" si="10"/>
        <v>0</v>
      </c>
      <c r="L31" s="212"/>
      <c r="M31" s="213"/>
    </row>
    <row r="32" spans="1:13" ht="12.75" customHeight="1" x14ac:dyDescent="0.25">
      <c r="A32" s="265" t="s">
        <v>555</v>
      </c>
      <c r="B32" s="281"/>
      <c r="C32" s="211"/>
      <c r="D32" s="212"/>
      <c r="E32" s="212"/>
      <c r="F32" s="212"/>
      <c r="G32" s="212"/>
      <c r="H32" s="212"/>
      <c r="I32" s="212"/>
      <c r="J32" s="29">
        <f t="shared" si="9"/>
        <v>0</v>
      </c>
      <c r="K32" s="29">
        <f t="shared" si="10"/>
        <v>0</v>
      </c>
      <c r="L32" s="212"/>
      <c r="M32" s="213"/>
    </row>
    <row r="33" spans="1:13" ht="12.75" customHeight="1" x14ac:dyDescent="0.25">
      <c r="A33" s="265" t="s">
        <v>556</v>
      </c>
      <c r="B33" s="281"/>
      <c r="C33" s="211"/>
      <c r="D33" s="212"/>
      <c r="E33" s="212"/>
      <c r="F33" s="212"/>
      <c r="G33" s="212"/>
      <c r="H33" s="212"/>
      <c r="I33" s="212"/>
      <c r="J33" s="29">
        <f t="shared" si="9"/>
        <v>0</v>
      </c>
      <c r="K33" s="29">
        <f t="shared" si="10"/>
        <v>0</v>
      </c>
      <c r="L33" s="212"/>
      <c r="M33" s="213"/>
    </row>
    <row r="34" spans="1:13" ht="12.75" customHeight="1" x14ac:dyDescent="0.25">
      <c r="A34" s="265" t="s">
        <v>89</v>
      </c>
      <c r="B34" s="281"/>
      <c r="C34" s="211"/>
      <c r="D34" s="212"/>
      <c r="E34" s="212"/>
      <c r="F34" s="212"/>
      <c r="G34" s="212"/>
      <c r="H34" s="212"/>
      <c r="I34" s="212"/>
      <c r="J34" s="29">
        <f t="shared" si="9"/>
        <v>0</v>
      </c>
      <c r="K34" s="29">
        <f t="shared" si="10"/>
        <v>0</v>
      </c>
      <c r="L34" s="212"/>
      <c r="M34" s="213"/>
    </row>
    <row r="35" spans="1:13" ht="12.75" customHeight="1" x14ac:dyDescent="0.25">
      <c r="A35" s="265" t="s">
        <v>557</v>
      </c>
      <c r="B35" s="281"/>
      <c r="C35" s="211"/>
      <c r="D35" s="212"/>
      <c r="E35" s="212"/>
      <c r="F35" s="212"/>
      <c r="G35" s="212"/>
      <c r="H35" s="212"/>
      <c r="I35" s="212"/>
      <c r="J35" s="29">
        <f t="shared" si="9"/>
        <v>0</v>
      </c>
      <c r="K35" s="29">
        <f t="shared" si="10"/>
        <v>0</v>
      </c>
      <c r="L35" s="212"/>
      <c r="M35" s="213"/>
    </row>
    <row r="36" spans="1:13" ht="12.75" customHeight="1" x14ac:dyDescent="0.25">
      <c r="A36" s="265" t="s">
        <v>558</v>
      </c>
      <c r="B36" s="281"/>
      <c r="C36" s="211"/>
      <c r="D36" s="212"/>
      <c r="E36" s="212"/>
      <c r="F36" s="212"/>
      <c r="G36" s="212"/>
      <c r="H36" s="212"/>
      <c r="I36" s="212"/>
      <c r="J36" s="29">
        <f t="shared" si="9"/>
        <v>0</v>
      </c>
      <c r="K36" s="29">
        <f t="shared" si="10"/>
        <v>0</v>
      </c>
      <c r="L36" s="212"/>
      <c r="M36" s="213"/>
    </row>
    <row r="37" spans="1:13" ht="12.75" customHeight="1" x14ac:dyDescent="0.25">
      <c r="A37" s="265" t="s">
        <v>559</v>
      </c>
      <c r="B37" s="281"/>
      <c r="C37" s="211"/>
      <c r="D37" s="212"/>
      <c r="E37" s="212"/>
      <c r="F37" s="212"/>
      <c r="G37" s="212"/>
      <c r="H37" s="212"/>
      <c r="I37" s="212"/>
      <c r="J37" s="29">
        <f t="shared" si="9"/>
        <v>0</v>
      </c>
      <c r="K37" s="29">
        <f t="shared" si="10"/>
        <v>0</v>
      </c>
      <c r="L37" s="212"/>
      <c r="M37" s="213"/>
    </row>
    <row r="38" spans="1:13" ht="12.75" customHeight="1" x14ac:dyDescent="0.25">
      <c r="A38" s="265" t="s">
        <v>132</v>
      </c>
      <c r="B38" s="281"/>
      <c r="C38" s="211"/>
      <c r="D38" s="212"/>
      <c r="E38" s="212"/>
      <c r="F38" s="212"/>
      <c r="G38" s="212"/>
      <c r="H38" s="212"/>
      <c r="I38" s="212"/>
      <c r="J38" s="29">
        <f t="shared" si="9"/>
        <v>0</v>
      </c>
      <c r="K38" s="29">
        <f t="shared" si="10"/>
        <v>0</v>
      </c>
      <c r="L38" s="212"/>
      <c r="M38" s="213"/>
    </row>
    <row r="39" spans="1:13" ht="12.75" customHeight="1" x14ac:dyDescent="0.25">
      <c r="A39" s="265" t="s">
        <v>274</v>
      </c>
      <c r="B39" s="281"/>
      <c r="C39" s="211"/>
      <c r="D39" s="212"/>
      <c r="E39" s="212"/>
      <c r="F39" s="212"/>
      <c r="G39" s="212"/>
      <c r="H39" s="212"/>
      <c r="I39" s="212"/>
      <c r="J39" s="29">
        <f t="shared" si="9"/>
        <v>0</v>
      </c>
      <c r="K39" s="29">
        <f t="shared" si="10"/>
        <v>0</v>
      </c>
      <c r="L39" s="212"/>
      <c r="M39" s="213"/>
    </row>
    <row r="40" spans="1:13" ht="12.75" customHeight="1" x14ac:dyDescent="0.25">
      <c r="A40" s="265" t="s">
        <v>275</v>
      </c>
      <c r="B40" s="281"/>
      <c r="C40" s="211"/>
      <c r="D40" s="212"/>
      <c r="E40" s="212"/>
      <c r="F40" s="212"/>
      <c r="G40" s="212"/>
      <c r="H40" s="212"/>
      <c r="I40" s="212"/>
      <c r="J40" s="29">
        <f t="shared" si="9"/>
        <v>0</v>
      </c>
      <c r="K40" s="29">
        <f t="shared" si="10"/>
        <v>0</v>
      </c>
      <c r="L40" s="212"/>
      <c r="M40" s="213"/>
    </row>
    <row r="41" spans="1:13" ht="12.75" customHeight="1" x14ac:dyDescent="0.25">
      <c r="A41" s="265" t="s">
        <v>560</v>
      </c>
      <c r="B41" s="281"/>
      <c r="C41" s="211"/>
      <c r="D41" s="212"/>
      <c r="E41" s="212"/>
      <c r="F41" s="212"/>
      <c r="G41" s="212"/>
      <c r="H41" s="212"/>
      <c r="I41" s="212"/>
      <c r="J41" s="29">
        <f t="shared" si="9"/>
        <v>0</v>
      </c>
      <c r="K41" s="29">
        <f t="shared" si="10"/>
        <v>0</v>
      </c>
      <c r="L41" s="212"/>
      <c r="M41" s="213"/>
    </row>
    <row r="42" spans="1:13" ht="12.75" customHeight="1" x14ac:dyDescent="0.25">
      <c r="A42" s="265" t="s">
        <v>561</v>
      </c>
      <c r="B42" s="281"/>
      <c r="C42" s="211"/>
      <c r="D42" s="212"/>
      <c r="E42" s="212"/>
      <c r="F42" s="212"/>
      <c r="G42" s="212"/>
      <c r="H42" s="212"/>
      <c r="I42" s="212"/>
      <c r="J42" s="29">
        <f>SUM(E42:I42)</f>
        <v>0</v>
      </c>
      <c r="K42" s="29">
        <f>IF(D42=0,C42+J42,D42+J42)</f>
        <v>0</v>
      </c>
      <c r="L42" s="212"/>
      <c r="M42" s="213"/>
    </row>
    <row r="43" spans="1:13" ht="12.75" customHeight="1" x14ac:dyDescent="0.25">
      <c r="A43" s="26" t="s">
        <v>239</v>
      </c>
      <c r="B43" s="281"/>
      <c r="C43" s="211"/>
      <c r="D43" s="212"/>
      <c r="E43" s="212"/>
      <c r="F43" s="212"/>
      <c r="G43" s="212"/>
      <c r="H43" s="212"/>
      <c r="I43" s="212"/>
      <c r="J43" s="29">
        <f>SUM(E43:I43)</f>
        <v>0</v>
      </c>
      <c r="K43" s="29">
        <f>IF(D43=0,C43+J43,D43+J43)</f>
        <v>0</v>
      </c>
      <c r="L43" s="212"/>
      <c r="M43" s="213"/>
    </row>
    <row r="44" spans="1:13" ht="5.0999999999999996" customHeight="1" x14ac:dyDescent="0.25">
      <c r="A44" s="27"/>
      <c r="B44" s="281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85"/>
    </row>
    <row r="45" spans="1:13" ht="17.25" customHeight="1" x14ac:dyDescent="0.25">
      <c r="A45" s="269" t="s">
        <v>194</v>
      </c>
      <c r="B45" s="282"/>
      <c r="C45" s="425">
        <f>SUM(C46:C47)</f>
        <v>0</v>
      </c>
      <c r="D45" s="33">
        <f t="shared" ref="D45:M45" si="11">SUM(D46:D47)</f>
        <v>0</v>
      </c>
      <c r="E45" s="33">
        <f t="shared" si="11"/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>SUM(J46:J47)</f>
        <v>0</v>
      </c>
      <c r="K45" s="33">
        <f>SUM(K46:K47)</f>
        <v>0</v>
      </c>
      <c r="L45" s="33">
        <f t="shared" si="11"/>
        <v>0</v>
      </c>
      <c r="M45" s="103">
        <f t="shared" si="11"/>
        <v>0</v>
      </c>
    </row>
    <row r="46" spans="1:13" ht="11.25" customHeight="1" x14ac:dyDescent="0.25">
      <c r="A46" s="265" t="s">
        <v>562</v>
      </c>
      <c r="B46" s="282"/>
      <c r="C46" s="211"/>
      <c r="D46" s="212"/>
      <c r="E46" s="212"/>
      <c r="F46" s="212"/>
      <c r="G46" s="212"/>
      <c r="H46" s="212"/>
      <c r="I46" s="212"/>
      <c r="J46" s="29">
        <f>SUM(E46:I46)</f>
        <v>0</v>
      </c>
      <c r="K46" s="29">
        <f>IF(D46=0,C46+J46,D46+J46)</f>
        <v>0</v>
      </c>
      <c r="L46" s="212"/>
      <c r="M46" s="213"/>
    </row>
    <row r="47" spans="1:13" ht="11.25" customHeight="1" x14ac:dyDescent="0.25">
      <c r="A47" s="271" t="s">
        <v>239</v>
      </c>
      <c r="B47" s="282"/>
      <c r="C47" s="211"/>
      <c r="D47" s="212"/>
      <c r="E47" s="212"/>
      <c r="F47" s="212"/>
      <c r="G47" s="212"/>
      <c r="H47" s="212"/>
      <c r="I47" s="212"/>
      <c r="J47" s="29">
        <f>SUM(E47:I47)</f>
        <v>0</v>
      </c>
      <c r="K47" s="29">
        <f>IF(D47=0,C47+J47,D47+J47)</f>
        <v>0</v>
      </c>
      <c r="L47" s="212"/>
      <c r="M47" s="213"/>
    </row>
    <row r="48" spans="1:13" ht="5.0999999999999996" customHeight="1" x14ac:dyDescent="0.25">
      <c r="A48" s="272"/>
      <c r="B48" s="282"/>
      <c r="C48" s="393"/>
      <c r="D48" s="238"/>
      <c r="E48" s="238"/>
      <c r="F48" s="238"/>
      <c r="G48" s="238"/>
      <c r="H48" s="238"/>
      <c r="I48" s="238"/>
      <c r="J48" s="29"/>
      <c r="K48" s="29"/>
      <c r="L48" s="29"/>
      <c r="M48" s="85"/>
    </row>
    <row r="49" spans="1:13" ht="17.25" customHeight="1" x14ac:dyDescent="0.25">
      <c r="A49" s="269" t="s">
        <v>195</v>
      </c>
      <c r="B49" s="282"/>
      <c r="C49" s="425">
        <f t="shared" ref="C49:M49" si="12">SUM(C50:C51)</f>
        <v>0</v>
      </c>
      <c r="D49" s="33">
        <f t="shared" si="12"/>
        <v>0</v>
      </c>
      <c r="E49" s="33">
        <f t="shared" si="12"/>
        <v>0</v>
      </c>
      <c r="F49" s="33">
        <f t="shared" si="12"/>
        <v>0</v>
      </c>
      <c r="G49" s="33">
        <f t="shared" si="12"/>
        <v>0</v>
      </c>
      <c r="H49" s="33">
        <f t="shared" si="12"/>
        <v>0</v>
      </c>
      <c r="I49" s="33">
        <f t="shared" si="12"/>
        <v>0</v>
      </c>
      <c r="J49" s="33">
        <f>SUM(J50:J51)</f>
        <v>0</v>
      </c>
      <c r="K49" s="33">
        <f>SUM(K50:K51)</f>
        <v>0</v>
      </c>
      <c r="L49" s="33">
        <f t="shared" si="12"/>
        <v>0</v>
      </c>
      <c r="M49" s="103">
        <f t="shared" si="12"/>
        <v>0</v>
      </c>
    </row>
    <row r="50" spans="1:13" ht="11.25" customHeight="1" x14ac:dyDescent="0.25">
      <c r="A50" s="265" t="s">
        <v>563</v>
      </c>
      <c r="B50" s="282"/>
      <c r="C50" s="211"/>
      <c r="D50" s="212"/>
      <c r="E50" s="212"/>
      <c r="F50" s="212"/>
      <c r="G50" s="212"/>
      <c r="H50" s="212"/>
      <c r="I50" s="212"/>
      <c r="J50" s="29">
        <f>SUM(E50:I50)</f>
        <v>0</v>
      </c>
      <c r="K50" s="29">
        <f>IF(D50=0,C50+J50,D50+J50)</f>
        <v>0</v>
      </c>
      <c r="L50" s="212"/>
      <c r="M50" s="213"/>
    </row>
    <row r="51" spans="1:13" ht="11.25" customHeight="1" x14ac:dyDescent="0.25">
      <c r="A51" s="265" t="s">
        <v>239</v>
      </c>
      <c r="B51" s="282"/>
      <c r="C51" s="211"/>
      <c r="D51" s="212"/>
      <c r="E51" s="212"/>
      <c r="F51" s="212"/>
      <c r="G51" s="212"/>
      <c r="H51" s="212"/>
      <c r="I51" s="212"/>
      <c r="J51" s="29">
        <f>SUM(E51:I51)</f>
        <v>0</v>
      </c>
      <c r="K51" s="29">
        <f>IF(D51=0,C51+J51,D51+J51)</f>
        <v>0</v>
      </c>
      <c r="L51" s="212"/>
      <c r="M51" s="213"/>
    </row>
    <row r="52" spans="1:13" ht="5.0999999999999996" customHeight="1" x14ac:dyDescent="0.25">
      <c r="A52" s="272"/>
      <c r="B52" s="282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85"/>
    </row>
    <row r="53" spans="1:13" ht="12.75" customHeight="1" x14ac:dyDescent="0.25">
      <c r="A53" s="23" t="s">
        <v>196</v>
      </c>
      <c r="B53" s="281"/>
      <c r="C53" s="425">
        <f t="shared" ref="C53:M53" si="13">SUM(C54:C65)</f>
        <v>0</v>
      </c>
      <c r="D53" s="33">
        <f t="shared" si="13"/>
        <v>0</v>
      </c>
      <c r="E53" s="33">
        <f t="shared" si="13"/>
        <v>0</v>
      </c>
      <c r="F53" s="33">
        <f t="shared" si="13"/>
        <v>0</v>
      </c>
      <c r="G53" s="33">
        <f t="shared" si="13"/>
        <v>0</v>
      </c>
      <c r="H53" s="33">
        <f t="shared" si="13"/>
        <v>0</v>
      </c>
      <c r="I53" s="33">
        <f t="shared" si="13"/>
        <v>0</v>
      </c>
      <c r="J53" s="33">
        <f>SUM(J54:J65)</f>
        <v>0</v>
      </c>
      <c r="K53" s="33">
        <f t="shared" si="13"/>
        <v>0</v>
      </c>
      <c r="L53" s="33">
        <f t="shared" si="13"/>
        <v>0</v>
      </c>
      <c r="M53" s="103">
        <f t="shared" si="13"/>
        <v>0</v>
      </c>
    </row>
    <row r="54" spans="1:13" ht="12.75" customHeight="1" x14ac:dyDescent="0.25">
      <c r="A54" s="271" t="s">
        <v>564</v>
      </c>
      <c r="B54" s="281"/>
      <c r="C54" s="211"/>
      <c r="D54" s="212"/>
      <c r="E54" s="212"/>
      <c r="F54" s="212"/>
      <c r="G54" s="212"/>
      <c r="H54" s="212"/>
      <c r="I54" s="212"/>
      <c r="J54" s="29">
        <f>SUM(E54:I54)</f>
        <v>0</v>
      </c>
      <c r="K54" s="29">
        <f>IF(D54=0,C54+J54,D54+J54)</f>
        <v>0</v>
      </c>
      <c r="L54" s="212"/>
      <c r="M54" s="213"/>
    </row>
    <row r="55" spans="1:13" ht="12.75" customHeight="1" x14ac:dyDescent="0.25">
      <c r="A55" s="271" t="s">
        <v>238</v>
      </c>
      <c r="B55" s="281"/>
      <c r="C55" s="424">
        <f>C81</f>
        <v>0</v>
      </c>
      <c r="D55" s="312">
        <f t="shared" ref="D55:I55" si="14">D81</f>
        <v>0</v>
      </c>
      <c r="E55" s="312">
        <f t="shared" si="14"/>
        <v>0</v>
      </c>
      <c r="F55" s="312">
        <f t="shared" si="14"/>
        <v>0</v>
      </c>
      <c r="G55" s="312">
        <f t="shared" si="14"/>
        <v>0</v>
      </c>
      <c r="H55" s="312">
        <f t="shared" si="14"/>
        <v>0</v>
      </c>
      <c r="I55" s="312">
        <f t="shared" si="14"/>
        <v>0</v>
      </c>
      <c r="J55" s="312">
        <f>SUM(E55:I55)</f>
        <v>0</v>
      </c>
      <c r="K55" s="312">
        <f>IF(D55=0,C55+J55,D55+J55)</f>
        <v>0</v>
      </c>
      <c r="L55" s="312">
        <f>L81</f>
        <v>0</v>
      </c>
      <c r="M55" s="313">
        <f>M81</f>
        <v>0</v>
      </c>
    </row>
    <row r="56" spans="1:13" ht="12.75" customHeight="1" x14ac:dyDescent="0.25">
      <c r="A56" s="271" t="s">
        <v>7</v>
      </c>
      <c r="B56" s="281"/>
      <c r="C56" s="211"/>
      <c r="D56" s="212"/>
      <c r="E56" s="212"/>
      <c r="F56" s="212"/>
      <c r="G56" s="212"/>
      <c r="H56" s="212"/>
      <c r="I56" s="212"/>
      <c r="J56" s="29">
        <f t="shared" ref="J56:J65" si="15">SUM(E56:I56)</f>
        <v>0</v>
      </c>
      <c r="K56" s="29">
        <f t="shared" ref="K56:K65" si="16">IF(D56=0,C56+J56,D56+J56)</f>
        <v>0</v>
      </c>
      <c r="L56" s="212"/>
      <c r="M56" s="213"/>
    </row>
    <row r="57" spans="1:13" ht="12.75" customHeight="1" x14ac:dyDescent="0.25">
      <c r="A57" s="271" t="s">
        <v>565</v>
      </c>
      <c r="B57" s="281"/>
      <c r="C57" s="211"/>
      <c r="D57" s="212"/>
      <c r="E57" s="212"/>
      <c r="F57" s="212"/>
      <c r="G57" s="212"/>
      <c r="H57" s="212"/>
      <c r="I57" s="212"/>
      <c r="J57" s="29">
        <f t="shared" si="15"/>
        <v>0</v>
      </c>
      <c r="K57" s="29">
        <f t="shared" si="16"/>
        <v>0</v>
      </c>
      <c r="L57" s="212"/>
      <c r="M57" s="213"/>
    </row>
    <row r="58" spans="1:13" ht="12.75" customHeight="1" x14ac:dyDescent="0.25">
      <c r="A58" s="271" t="s">
        <v>566</v>
      </c>
      <c r="B58" s="281"/>
      <c r="C58" s="211"/>
      <c r="D58" s="212"/>
      <c r="E58" s="212"/>
      <c r="F58" s="212"/>
      <c r="G58" s="212"/>
      <c r="H58" s="212"/>
      <c r="I58" s="212"/>
      <c r="J58" s="29">
        <f t="shared" si="15"/>
        <v>0</v>
      </c>
      <c r="K58" s="29">
        <f t="shared" si="16"/>
        <v>0</v>
      </c>
      <c r="L58" s="212"/>
      <c r="M58" s="213"/>
    </row>
    <row r="59" spans="1:13" ht="12.75" customHeight="1" x14ac:dyDescent="0.25">
      <c r="A59" s="271" t="s">
        <v>8</v>
      </c>
      <c r="B59" s="281"/>
      <c r="C59" s="211"/>
      <c r="D59" s="212"/>
      <c r="E59" s="212"/>
      <c r="F59" s="212"/>
      <c r="G59" s="212"/>
      <c r="H59" s="212"/>
      <c r="I59" s="212"/>
      <c r="J59" s="29">
        <f t="shared" si="15"/>
        <v>0</v>
      </c>
      <c r="K59" s="29">
        <f t="shared" si="16"/>
        <v>0</v>
      </c>
      <c r="L59" s="212"/>
      <c r="M59" s="213"/>
    </row>
    <row r="60" spans="1:13" ht="12.75" customHeight="1" x14ac:dyDescent="0.25">
      <c r="A60" s="271" t="s">
        <v>9</v>
      </c>
      <c r="B60" s="281"/>
      <c r="C60" s="211"/>
      <c r="D60" s="212"/>
      <c r="E60" s="212"/>
      <c r="F60" s="212"/>
      <c r="G60" s="212"/>
      <c r="H60" s="212"/>
      <c r="I60" s="212"/>
      <c r="J60" s="29">
        <f t="shared" si="15"/>
        <v>0</v>
      </c>
      <c r="K60" s="29">
        <f t="shared" si="16"/>
        <v>0</v>
      </c>
      <c r="L60" s="212"/>
      <c r="M60" s="213"/>
    </row>
    <row r="61" spans="1:13" ht="12.75" customHeight="1" x14ac:dyDescent="0.25">
      <c r="A61" s="271" t="s">
        <v>128</v>
      </c>
      <c r="B61" s="281"/>
      <c r="C61" s="211"/>
      <c r="D61" s="212"/>
      <c r="E61" s="212"/>
      <c r="F61" s="212"/>
      <c r="G61" s="212"/>
      <c r="H61" s="212"/>
      <c r="I61" s="212"/>
      <c r="J61" s="29">
        <f t="shared" si="15"/>
        <v>0</v>
      </c>
      <c r="K61" s="29">
        <f t="shared" si="16"/>
        <v>0</v>
      </c>
      <c r="L61" s="212"/>
      <c r="M61" s="213"/>
    </row>
    <row r="62" spans="1:13" ht="12.75" customHeight="1" x14ac:dyDescent="0.25">
      <c r="A62" s="271" t="s">
        <v>567</v>
      </c>
      <c r="B62" s="281"/>
      <c r="C62" s="211"/>
      <c r="D62" s="212"/>
      <c r="E62" s="212"/>
      <c r="F62" s="212"/>
      <c r="G62" s="212"/>
      <c r="H62" s="212"/>
      <c r="I62" s="212"/>
      <c r="J62" s="29">
        <f t="shared" si="15"/>
        <v>0</v>
      </c>
      <c r="K62" s="29">
        <f t="shared" si="16"/>
        <v>0</v>
      </c>
      <c r="L62" s="212"/>
      <c r="M62" s="213"/>
    </row>
    <row r="63" spans="1:13" ht="12.75" customHeight="1" x14ac:dyDescent="0.25">
      <c r="A63" s="271" t="s">
        <v>568</v>
      </c>
      <c r="B63" s="281"/>
      <c r="C63" s="211"/>
      <c r="D63" s="212"/>
      <c r="E63" s="212"/>
      <c r="F63" s="212"/>
      <c r="G63" s="212"/>
      <c r="H63" s="212"/>
      <c r="I63" s="212"/>
      <c r="J63" s="29">
        <f t="shared" si="15"/>
        <v>0</v>
      </c>
      <c r="K63" s="29">
        <f t="shared" si="16"/>
        <v>0</v>
      </c>
      <c r="L63" s="212"/>
      <c r="M63" s="213"/>
    </row>
    <row r="64" spans="1:13" ht="12.75" customHeight="1" x14ac:dyDescent="0.25">
      <c r="A64" s="271" t="s">
        <v>569</v>
      </c>
      <c r="B64" s="281"/>
      <c r="C64" s="211"/>
      <c r="D64" s="212"/>
      <c r="E64" s="212"/>
      <c r="F64" s="212"/>
      <c r="G64" s="212"/>
      <c r="H64" s="212"/>
      <c r="I64" s="212"/>
      <c r="J64" s="29">
        <f t="shared" si="15"/>
        <v>0</v>
      </c>
      <c r="K64" s="29">
        <f t="shared" si="16"/>
        <v>0</v>
      </c>
      <c r="L64" s="212"/>
      <c r="M64" s="213"/>
    </row>
    <row r="65" spans="1:24" ht="12.75" customHeight="1" x14ac:dyDescent="0.25">
      <c r="A65" s="26" t="s">
        <v>239</v>
      </c>
      <c r="B65" s="281"/>
      <c r="C65" s="211"/>
      <c r="D65" s="212"/>
      <c r="E65" s="212"/>
      <c r="F65" s="212"/>
      <c r="G65" s="212"/>
      <c r="H65" s="212"/>
      <c r="I65" s="212"/>
      <c r="J65" s="29">
        <f t="shared" si="15"/>
        <v>0</v>
      </c>
      <c r="K65" s="29">
        <f t="shared" si="16"/>
        <v>0</v>
      </c>
      <c r="L65" s="212"/>
      <c r="M65" s="213"/>
    </row>
    <row r="66" spans="1:24" ht="5.0999999999999996" customHeight="1" x14ac:dyDescent="0.25">
      <c r="A66" s="273"/>
      <c r="B66" s="282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85"/>
    </row>
    <row r="67" spans="1:24" ht="17.25" customHeight="1" x14ac:dyDescent="0.25">
      <c r="A67" s="269" t="s">
        <v>303</v>
      </c>
      <c r="B67" s="282"/>
      <c r="C67" s="425">
        <f t="shared" ref="C67:M67" si="17">SUM(C68:C69)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  <c r="H67" s="33">
        <f t="shared" si="17"/>
        <v>0</v>
      </c>
      <c r="I67" s="33">
        <f t="shared" si="17"/>
        <v>0</v>
      </c>
      <c r="J67" s="33">
        <f>SUM(J68:J69)</f>
        <v>0</v>
      </c>
      <c r="K67" s="33">
        <f t="shared" si="17"/>
        <v>0</v>
      </c>
      <c r="L67" s="33">
        <f t="shared" si="17"/>
        <v>0</v>
      </c>
      <c r="M67" s="103">
        <f t="shared" si="17"/>
        <v>0</v>
      </c>
    </row>
    <row r="68" spans="1:24" ht="11.25" customHeight="1" x14ac:dyDescent="0.25">
      <c r="A68" s="274" t="s">
        <v>318</v>
      </c>
      <c r="B68" s="282"/>
      <c r="C68" s="211"/>
      <c r="D68" s="212"/>
      <c r="E68" s="212"/>
      <c r="F68" s="212"/>
      <c r="G68" s="212"/>
      <c r="H68" s="212"/>
      <c r="I68" s="212"/>
      <c r="J68" s="29">
        <f>SUM(E68:I68)</f>
        <v>0</v>
      </c>
      <c r="K68" s="29">
        <f>IF(D68=0,C68+J68,D68+J68)</f>
        <v>0</v>
      </c>
      <c r="L68" s="212"/>
      <c r="M68" s="213"/>
    </row>
    <row r="69" spans="1:24" ht="11.25" customHeight="1" x14ac:dyDescent="0.25">
      <c r="A69" s="274"/>
      <c r="B69" s="282"/>
      <c r="C69" s="211"/>
      <c r="D69" s="212"/>
      <c r="E69" s="212"/>
      <c r="F69" s="212"/>
      <c r="G69" s="212"/>
      <c r="H69" s="212"/>
      <c r="I69" s="212"/>
      <c r="J69" s="29">
        <f>SUM(E69:I69)</f>
        <v>0</v>
      </c>
      <c r="K69" s="29">
        <f>IF(D69=0,C69+J69,D69+J69)</f>
        <v>0</v>
      </c>
      <c r="L69" s="212"/>
      <c r="M69" s="213"/>
    </row>
    <row r="70" spans="1:24" ht="5.0999999999999996" customHeight="1" x14ac:dyDescent="0.25">
      <c r="A70" s="273"/>
      <c r="B70" s="282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85"/>
    </row>
    <row r="71" spans="1:24" ht="17.25" customHeight="1" x14ac:dyDescent="0.25">
      <c r="A71" s="269" t="s">
        <v>27</v>
      </c>
      <c r="B71" s="282"/>
      <c r="C71" s="425">
        <f t="shared" ref="C71:M71" si="18">SUM(C72:C73)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  <c r="H71" s="33">
        <f t="shared" si="18"/>
        <v>0</v>
      </c>
      <c r="I71" s="33">
        <f t="shared" si="18"/>
        <v>0</v>
      </c>
      <c r="J71" s="33">
        <f>SUM(J72:J73)</f>
        <v>0</v>
      </c>
      <c r="K71" s="33">
        <f t="shared" si="18"/>
        <v>0</v>
      </c>
      <c r="L71" s="33">
        <f t="shared" si="18"/>
        <v>0</v>
      </c>
      <c r="M71" s="103">
        <f t="shared" si="18"/>
        <v>0</v>
      </c>
    </row>
    <row r="72" spans="1:24" ht="11.25" customHeight="1" x14ac:dyDescent="0.25">
      <c r="A72" s="274" t="s">
        <v>318</v>
      </c>
      <c r="B72" s="282"/>
      <c r="C72" s="211"/>
      <c r="D72" s="212"/>
      <c r="E72" s="212"/>
      <c r="F72" s="212"/>
      <c r="G72" s="212"/>
      <c r="H72" s="212"/>
      <c r="I72" s="212"/>
      <c r="J72" s="29">
        <f>SUM(E72:I72)</f>
        <v>0</v>
      </c>
      <c r="K72" s="29">
        <f>IF(D72=0,C72+J72,D72+J72)</f>
        <v>0</v>
      </c>
      <c r="L72" s="212"/>
      <c r="M72" s="213"/>
    </row>
    <row r="73" spans="1:24" ht="11.25" customHeight="1" x14ac:dyDescent="0.25">
      <c r="A73" s="274"/>
      <c r="B73" s="282"/>
      <c r="C73" s="211"/>
      <c r="D73" s="212"/>
      <c r="E73" s="212"/>
      <c r="F73" s="212"/>
      <c r="G73" s="212"/>
      <c r="H73" s="212"/>
      <c r="I73" s="212"/>
      <c r="J73" s="29">
        <f>SUM(E73:I73)</f>
        <v>0</v>
      </c>
      <c r="K73" s="29">
        <f>IF(D73=0,C73+J73,D73+J73)</f>
        <v>0</v>
      </c>
      <c r="L73" s="212"/>
      <c r="M73" s="213"/>
    </row>
    <row r="74" spans="1:24" ht="5.0999999999999996" customHeight="1" x14ac:dyDescent="0.25">
      <c r="A74" s="27"/>
      <c r="B74" s="281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85"/>
    </row>
    <row r="75" spans="1:24" ht="17.25" customHeight="1" x14ac:dyDescent="0.25">
      <c r="A75" s="269" t="s">
        <v>51</v>
      </c>
      <c r="B75" s="282"/>
      <c r="C75" s="425">
        <f t="shared" ref="C75:M75" si="19">SUM(C76:C77)</f>
        <v>0</v>
      </c>
      <c r="D75" s="33">
        <f t="shared" si="19"/>
        <v>0</v>
      </c>
      <c r="E75" s="33">
        <f t="shared" si="19"/>
        <v>0</v>
      </c>
      <c r="F75" s="33">
        <f t="shared" si="19"/>
        <v>0</v>
      </c>
      <c r="G75" s="33">
        <f t="shared" si="19"/>
        <v>0</v>
      </c>
      <c r="H75" s="33">
        <f t="shared" si="19"/>
        <v>0</v>
      </c>
      <c r="I75" s="33">
        <f t="shared" si="19"/>
        <v>0</v>
      </c>
      <c r="J75" s="33">
        <f>SUM(J76:J77)</f>
        <v>0</v>
      </c>
      <c r="K75" s="33">
        <f t="shared" si="19"/>
        <v>0</v>
      </c>
      <c r="L75" s="33">
        <f t="shared" si="19"/>
        <v>0</v>
      </c>
      <c r="M75" s="103">
        <f t="shared" si="19"/>
        <v>0</v>
      </c>
    </row>
    <row r="76" spans="1:24" ht="11.25" customHeight="1" x14ac:dyDescent="0.25">
      <c r="A76" s="271" t="s">
        <v>165</v>
      </c>
      <c r="B76" s="282"/>
      <c r="C76" s="211"/>
      <c r="D76" s="212"/>
      <c r="E76" s="212"/>
      <c r="F76" s="212"/>
      <c r="G76" s="212"/>
      <c r="H76" s="212"/>
      <c r="I76" s="212"/>
      <c r="J76" s="29">
        <f>SUM(E76:I76)</f>
        <v>0</v>
      </c>
      <c r="K76" s="29">
        <f>IF(D76=0,C76+J76,D76+J76)</f>
        <v>0</v>
      </c>
      <c r="L76" s="212"/>
      <c r="M76" s="213"/>
    </row>
    <row r="77" spans="1:24" ht="11.25" customHeight="1" x14ac:dyDescent="0.25">
      <c r="A77" s="275" t="s">
        <v>570</v>
      </c>
      <c r="B77" s="282"/>
      <c r="C77" s="211"/>
      <c r="D77" s="212"/>
      <c r="E77" s="212"/>
      <c r="F77" s="212"/>
      <c r="G77" s="212"/>
      <c r="H77" s="212"/>
      <c r="I77" s="212"/>
      <c r="J77" s="29">
        <f>SUM(E77:I77)</f>
        <v>0</v>
      </c>
      <c r="K77" s="29">
        <f>IF(D77=0,C77+J77,D77+J77)</f>
        <v>0</v>
      </c>
      <c r="L77" s="212"/>
      <c r="M77" s="213"/>
    </row>
    <row r="78" spans="1:24" ht="5.0999999999999996" customHeight="1" x14ac:dyDescent="0.25">
      <c r="A78" s="272"/>
      <c r="B78" s="282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85"/>
    </row>
    <row r="79" spans="1:24" ht="12.75" customHeight="1" x14ac:dyDescent="0.25">
      <c r="A79" s="334" t="s">
        <v>904</v>
      </c>
      <c r="B79" s="284">
        <v>1</v>
      </c>
      <c r="C79" s="36">
        <f t="shared" ref="C79:I79" si="20">C8+C29+C45+C49+C53+C75+C67+C71</f>
        <v>0</v>
      </c>
      <c r="D79" s="35">
        <f t="shared" si="20"/>
        <v>0</v>
      </c>
      <c r="E79" s="35">
        <f t="shared" si="20"/>
        <v>0</v>
      </c>
      <c r="F79" s="35">
        <f t="shared" si="20"/>
        <v>0</v>
      </c>
      <c r="G79" s="35">
        <f t="shared" si="20"/>
        <v>0</v>
      </c>
      <c r="H79" s="35">
        <f t="shared" si="20"/>
        <v>0</v>
      </c>
      <c r="I79" s="35">
        <f t="shared" si="20"/>
        <v>0</v>
      </c>
      <c r="J79" s="35">
        <f>J8+J29+J45+J49+J53+J71+J75+J67</f>
        <v>0</v>
      </c>
      <c r="K79" s="35">
        <f>K8+K29+K45+K49+K53+K71+K75+K67</f>
        <v>0</v>
      </c>
      <c r="L79" s="35">
        <f>L8+L29+L45+L49+L53+L75+L67+L71</f>
        <v>0</v>
      </c>
      <c r="M79" s="112">
        <f>M8+M29+M45+M49+M53+M75+M67+M71</f>
        <v>0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351"/>
      <c r="B80" s="352"/>
      <c r="C80" s="426"/>
      <c r="D80" s="32"/>
      <c r="E80" s="32"/>
      <c r="F80" s="32"/>
      <c r="G80" s="32"/>
      <c r="H80" s="32"/>
      <c r="I80" s="32"/>
      <c r="J80" s="32"/>
      <c r="K80" s="32"/>
      <c r="L80" s="32"/>
      <c r="M80" s="418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3" ht="12.75" customHeight="1" x14ac:dyDescent="0.25">
      <c r="A81" s="277" t="s">
        <v>238</v>
      </c>
      <c r="B81" s="276"/>
      <c r="C81" s="278">
        <f t="shared" ref="C81:I81" si="21">SUM(C82:C85)</f>
        <v>0</v>
      </c>
      <c r="D81" s="279">
        <f t="shared" si="21"/>
        <v>0</v>
      </c>
      <c r="E81" s="279">
        <f t="shared" si="21"/>
        <v>0</v>
      </c>
      <c r="F81" s="279">
        <f t="shared" si="21"/>
        <v>0</v>
      </c>
      <c r="G81" s="279">
        <f t="shared" si="21"/>
        <v>0</v>
      </c>
      <c r="H81" s="279">
        <f t="shared" si="21"/>
        <v>0</v>
      </c>
      <c r="I81" s="279">
        <f t="shared" si="21"/>
        <v>0</v>
      </c>
      <c r="J81" s="279">
        <f>SUM(E81:I81)</f>
        <v>0</v>
      </c>
      <c r="K81" s="279">
        <f>IF(D81=0,C81+J81,D81+J81)</f>
        <v>0</v>
      </c>
      <c r="L81" s="279">
        <f>SUM(L82:L85)</f>
        <v>0</v>
      </c>
      <c r="M81" s="280">
        <f>SUM(M82:M85)</f>
        <v>0</v>
      </c>
    </row>
    <row r="82" spans="1:23" ht="12.75" customHeight="1" x14ac:dyDescent="0.25">
      <c r="A82" s="26" t="s">
        <v>92</v>
      </c>
      <c r="B82" s="281"/>
      <c r="C82" s="211"/>
      <c r="D82" s="212"/>
      <c r="E82" s="212"/>
      <c r="F82" s="212"/>
      <c r="G82" s="212"/>
      <c r="H82" s="212"/>
      <c r="I82" s="212"/>
      <c r="J82" s="33">
        <f>SUM(E82:I82)</f>
        <v>0</v>
      </c>
      <c r="K82" s="33">
        <f>IF(D82=0,C82+J82,D82+J82)</f>
        <v>0</v>
      </c>
      <c r="L82" s="212"/>
      <c r="M82" s="213"/>
    </row>
    <row r="83" spans="1:23" ht="12.75" customHeight="1" x14ac:dyDescent="0.25">
      <c r="A83" s="26" t="s">
        <v>129</v>
      </c>
      <c r="B83" s="281"/>
      <c r="C83" s="211"/>
      <c r="D83" s="212"/>
      <c r="E83" s="212"/>
      <c r="F83" s="212"/>
      <c r="G83" s="212"/>
      <c r="H83" s="212"/>
      <c r="I83" s="212"/>
      <c r="J83" s="33">
        <f>SUM(E83:I83)</f>
        <v>0</v>
      </c>
      <c r="K83" s="33">
        <f>IF(D83=0,C83+J83,D83+J83)</f>
        <v>0</v>
      </c>
      <c r="L83" s="212"/>
      <c r="M83" s="213"/>
    </row>
    <row r="84" spans="1:23" ht="12.75" customHeight="1" x14ac:dyDescent="0.25">
      <c r="A84" s="26" t="s">
        <v>130</v>
      </c>
      <c r="B84" s="281"/>
      <c r="C84" s="211"/>
      <c r="D84" s="212"/>
      <c r="E84" s="212"/>
      <c r="F84" s="212"/>
      <c r="G84" s="212"/>
      <c r="H84" s="212"/>
      <c r="I84" s="212"/>
      <c r="J84" s="33">
        <f>SUM(E84:I84)</f>
        <v>0</v>
      </c>
      <c r="K84" s="33">
        <f>IF(D84=0,C84+J84,D84+J84)</f>
        <v>0</v>
      </c>
      <c r="L84" s="212"/>
      <c r="M84" s="213"/>
    </row>
    <row r="85" spans="1:23" ht="12.75" customHeight="1" x14ac:dyDescent="0.25">
      <c r="A85" s="80" t="s">
        <v>131</v>
      </c>
      <c r="B85" s="294"/>
      <c r="C85" s="229"/>
      <c r="D85" s="230"/>
      <c r="E85" s="230"/>
      <c r="F85" s="230"/>
      <c r="G85" s="230"/>
      <c r="H85" s="230"/>
      <c r="I85" s="230"/>
      <c r="J85" s="50">
        <f>SUM(E85:I85)</f>
        <v>0</v>
      </c>
      <c r="K85" s="50">
        <f>IF(D85=0,C85+J85,D85+J85)</f>
        <v>0</v>
      </c>
      <c r="L85" s="230"/>
      <c r="M85" s="233"/>
    </row>
    <row r="86" spans="1:23" ht="12.75" customHeight="1" x14ac:dyDescent="0.25">
      <c r="A86" s="41"/>
      <c r="B86" s="38"/>
      <c r="C86" s="32"/>
      <c r="D86" s="32"/>
      <c r="E86" s="32"/>
      <c r="F86" s="32"/>
      <c r="G86" s="32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ht="12.75" customHeight="1" x14ac:dyDescent="0.25">
      <c r="A87" s="37" t="str">
        <f>head27a</f>
        <v>References</v>
      </c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23" ht="12.75" customHeight="1" x14ac:dyDescent="0.25">
      <c r="A88" s="53" t="s">
        <v>571</v>
      </c>
      <c r="B88" s="38"/>
      <c r="C88" s="41"/>
      <c r="D88" s="41"/>
      <c r="E88" s="42"/>
      <c r="F88" s="42"/>
      <c r="G88" s="42"/>
      <c r="H88" s="42"/>
      <c r="I88" s="42"/>
      <c r="J88" s="42"/>
      <c r="K88" s="42"/>
    </row>
    <row r="89" spans="1:23" ht="11.25" customHeight="1" x14ac:dyDescent="0.25">
      <c r="A89" s="46"/>
      <c r="B89" s="38"/>
      <c r="C89" s="41"/>
      <c r="D89" s="41"/>
      <c r="E89" s="42"/>
      <c r="F89" s="42"/>
      <c r="G89" s="42"/>
      <c r="H89" s="42"/>
      <c r="I89" s="42"/>
      <c r="J89" s="42"/>
      <c r="K89" s="42"/>
    </row>
    <row r="90" spans="1:23" ht="11.25" customHeight="1" x14ac:dyDescent="0.25">
      <c r="A90" s="55" t="s">
        <v>241</v>
      </c>
      <c r="B90" s="43"/>
      <c r="C90" s="71">
        <f>C79-('E3-Capex'!C79-SE6a!C79)</f>
        <v>0</v>
      </c>
      <c r="D90" s="71">
        <f>D79-('E3-Capex'!D79-SE6a!D79)</f>
        <v>0</v>
      </c>
      <c r="E90" s="71">
        <f>E79-('E3-Capex'!E79-SE6a!E79)</f>
        <v>0</v>
      </c>
      <c r="F90" s="71">
        <f>F79-('E3-Capex'!F79-SE6a!F79)</f>
        <v>0</v>
      </c>
      <c r="G90" s="71">
        <f>G79-('E3-Capex'!G79-SE6a!G79)</f>
        <v>0</v>
      </c>
      <c r="H90" s="71">
        <f>H79-('E3-Capex'!H79-SE6a!H79)</f>
        <v>0</v>
      </c>
      <c r="I90" s="71">
        <f>I79-('E3-Capex'!I79-SE6a!I79)</f>
        <v>0</v>
      </c>
      <c r="J90" s="71">
        <f>J79-('E3-Capex'!J79-SE6a!J79)</f>
        <v>0</v>
      </c>
      <c r="K90" s="71">
        <f>K79-('E3-Capex'!K79-SE6a!K79)</f>
        <v>0</v>
      </c>
      <c r="L90" s="71">
        <f>L79-('E3-Capex'!L79-SE6a!L79)</f>
        <v>0</v>
      </c>
      <c r="M90" s="71">
        <f>M79-('E3-Capex'!M79-SE6a!M79)</f>
        <v>0</v>
      </c>
    </row>
    <row r="91" spans="1:23" ht="11.25" customHeight="1" x14ac:dyDescent="0.25"/>
    <row r="92" spans="1:23" ht="11.25" customHeight="1" x14ac:dyDescent="0.25"/>
    <row r="93" spans="1:23" ht="11.25" customHeight="1" x14ac:dyDescent="0.25"/>
    <row r="94" spans="1:23" ht="11.25" customHeight="1" x14ac:dyDescent="0.25"/>
    <row r="95" spans="1:23" ht="11.25" customHeight="1" x14ac:dyDescent="0.25"/>
    <row r="96" spans="1:23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</sheetData>
  <sheetProtection sheet="1" objects="1" scenarios="1"/>
  <mergeCells count="3">
    <mergeCell ref="A2:A3"/>
    <mergeCell ref="B2:B3"/>
    <mergeCell ref="C2:K2"/>
  </mergeCells>
  <phoneticPr fontId="2" type="noConversion"/>
  <dataValidations count="1">
    <dataValidation type="whole" allowBlank="1" showInputMessage="1" showErrorMessage="1" sqref="C82:I85 K10:M11 C10:I11 C13:I15 K13:M15 C17:I19 K17:M19 C21:I22 K21:M22 C24:I27 M24:M27 C30:I43 K30:M43 C46:I47 K46:M47 C50:I51 M50:M51 C54:I54 M56:M65 C68:I69 K68:M69 C72:I73 M72:M73 C76:I77 L54:M54 K24:L28 K50:L52 K82:M85 K54:K65 C56:I65 C55:H55 L55:L65 K72:L74 K76:M77">
      <formula1>-99999999999</formula1>
      <formula2>999999999999</formula2>
    </dataValidation>
  </dataValidation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4FCDF"/>
  </sheetPr>
  <dimension ref="A1:X125"/>
  <sheetViews>
    <sheetView showGridLines="0" zoomScale="80" zoomScaleNormal="80" workbookViewId="0">
      <selection activeCell="P53" sqref="P53"/>
    </sheetView>
  </sheetViews>
  <sheetFormatPr defaultRowHeight="12.75" x14ac:dyDescent="0.25"/>
  <cols>
    <col min="1" max="1" width="35.7109375" style="20" customWidth="1"/>
    <col min="2" max="2" width="3.140625" style="47" customWidth="1"/>
    <col min="3" max="13" width="11.710937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 x14ac:dyDescent="0.25">
      <c r="A1" s="19" t="str">
        <f>MEAB10c&amp;" - "&amp;Date</f>
        <v>Greater Tzaneen Development Agency - Supporting Table SE6c Adjustments expenditure on repairs and maintenance by asset category - 29/02/2016</v>
      </c>
    </row>
    <row r="2" spans="1:13" ht="25.5" customHeight="1" x14ac:dyDescent="0.25">
      <c r="A2" s="440" t="str">
        <f>desc</f>
        <v>Description</v>
      </c>
      <c r="B2" s="440" t="str">
        <f>head27</f>
        <v>Ref</v>
      </c>
      <c r="C2" s="437" t="s">
        <v>911</v>
      </c>
      <c r="D2" s="434"/>
      <c r="E2" s="434"/>
      <c r="F2" s="434"/>
      <c r="G2" s="434"/>
      <c r="H2" s="434"/>
      <c r="I2" s="434"/>
      <c r="J2" s="434"/>
      <c r="K2" s="435"/>
      <c r="L2" s="369" t="s">
        <v>912</v>
      </c>
      <c r="M2" s="108" t="s">
        <v>913</v>
      </c>
    </row>
    <row r="3" spans="1:13" ht="39" customHeight="1" x14ac:dyDescent="0.25">
      <c r="A3" s="441"/>
      <c r="B3" s="441"/>
      <c r="C3" s="419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0"/>
      <c r="C4" s="420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294">
        <v>1</v>
      </c>
      <c r="C5" s="421" t="s">
        <v>107</v>
      </c>
      <c r="D5" s="368" t="s">
        <v>316</v>
      </c>
      <c r="E5" s="368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5.0999999999999996" customHeight="1" x14ac:dyDescent="0.25">
      <c r="A7" s="23"/>
      <c r="B7" s="281"/>
      <c r="C7" s="3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1.25" customHeight="1" x14ac:dyDescent="0.25">
      <c r="A8" s="269" t="s">
        <v>167</v>
      </c>
      <c r="B8" s="282"/>
      <c r="C8" s="422">
        <f t="shared" ref="C8:M8" si="0">C9+C12+C16+C20+C23</f>
        <v>0</v>
      </c>
      <c r="D8" s="292">
        <f t="shared" si="0"/>
        <v>0</v>
      </c>
      <c r="E8" s="292">
        <f t="shared" si="0"/>
        <v>0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371">
        <f>SUM(E8:I8)</f>
        <v>0</v>
      </c>
      <c r="K8" s="371">
        <f>IF(D8=0,C8+J8,D8+J8)</f>
        <v>0</v>
      </c>
      <c r="L8" s="292">
        <f t="shared" si="0"/>
        <v>0</v>
      </c>
      <c r="M8" s="295">
        <f t="shared" si="0"/>
        <v>0</v>
      </c>
    </row>
    <row r="9" spans="1:13" s="328" customFormat="1" ht="13.5" x14ac:dyDescent="0.25">
      <c r="A9" s="265" t="s">
        <v>539</v>
      </c>
      <c r="B9" s="282"/>
      <c r="C9" s="423">
        <f t="shared" ref="C9:M9" si="1">SUM(C10:C11)</f>
        <v>0</v>
      </c>
      <c r="D9" s="308">
        <f t="shared" si="1"/>
        <v>0</v>
      </c>
      <c r="E9" s="308">
        <f t="shared" si="1"/>
        <v>0</v>
      </c>
      <c r="F9" s="308">
        <f t="shared" si="1"/>
        <v>0</v>
      </c>
      <c r="G9" s="308">
        <f t="shared" si="1"/>
        <v>0</v>
      </c>
      <c r="H9" s="308">
        <f t="shared" si="1"/>
        <v>0</v>
      </c>
      <c r="I9" s="308">
        <f t="shared" si="1"/>
        <v>0</v>
      </c>
      <c r="J9" s="29">
        <f t="shared" ref="J9:J28" si="2">SUM(E9:I9)</f>
        <v>0</v>
      </c>
      <c r="K9" s="29">
        <f t="shared" ref="K9:K28" si="3">IF(D9=0,C9+J9,D9+J9)</f>
        <v>0</v>
      </c>
      <c r="L9" s="308">
        <f t="shared" si="1"/>
        <v>0</v>
      </c>
      <c r="M9" s="309">
        <f t="shared" si="1"/>
        <v>0</v>
      </c>
    </row>
    <row r="10" spans="1:13" s="328" customFormat="1" ht="13.5" x14ac:dyDescent="0.25">
      <c r="A10" s="270" t="s">
        <v>540</v>
      </c>
      <c r="B10" s="282"/>
      <c r="C10" s="211"/>
      <c r="D10" s="212"/>
      <c r="E10" s="212"/>
      <c r="F10" s="212"/>
      <c r="G10" s="212"/>
      <c r="H10" s="212"/>
      <c r="I10" s="212"/>
      <c r="J10" s="29">
        <f t="shared" si="2"/>
        <v>0</v>
      </c>
      <c r="K10" s="29">
        <f t="shared" si="3"/>
        <v>0</v>
      </c>
      <c r="L10" s="212"/>
      <c r="M10" s="213"/>
    </row>
    <row r="11" spans="1:13" s="328" customFormat="1" ht="13.5" x14ac:dyDescent="0.25">
      <c r="A11" s="270" t="s">
        <v>541</v>
      </c>
      <c r="B11" s="282"/>
      <c r="C11" s="211"/>
      <c r="D11" s="212"/>
      <c r="E11" s="212"/>
      <c r="F11" s="212"/>
      <c r="G11" s="212"/>
      <c r="H11" s="212"/>
      <c r="I11" s="212"/>
      <c r="J11" s="29">
        <f t="shared" si="2"/>
        <v>0</v>
      </c>
      <c r="K11" s="29">
        <f t="shared" si="3"/>
        <v>0</v>
      </c>
      <c r="L11" s="212"/>
      <c r="M11" s="213"/>
    </row>
    <row r="12" spans="1:13" s="328" customFormat="1" ht="13.5" x14ac:dyDescent="0.25">
      <c r="A12" s="265" t="s">
        <v>542</v>
      </c>
      <c r="B12" s="282"/>
      <c r="C12" s="424">
        <f t="shared" ref="C12:M12" si="4">SUM(C13:C15)</f>
        <v>0</v>
      </c>
      <c r="D12" s="312">
        <f t="shared" si="4"/>
        <v>0</v>
      </c>
      <c r="E12" s="312">
        <f t="shared" si="4"/>
        <v>0</v>
      </c>
      <c r="F12" s="312">
        <f t="shared" si="4"/>
        <v>0</v>
      </c>
      <c r="G12" s="312">
        <f t="shared" si="4"/>
        <v>0</v>
      </c>
      <c r="H12" s="312">
        <f t="shared" si="4"/>
        <v>0</v>
      </c>
      <c r="I12" s="312">
        <f t="shared" si="4"/>
        <v>0</v>
      </c>
      <c r="J12" s="29">
        <f t="shared" si="2"/>
        <v>0</v>
      </c>
      <c r="K12" s="29">
        <f t="shared" si="3"/>
        <v>0</v>
      </c>
      <c r="L12" s="312">
        <f t="shared" si="4"/>
        <v>0</v>
      </c>
      <c r="M12" s="313">
        <f t="shared" si="4"/>
        <v>0</v>
      </c>
    </row>
    <row r="13" spans="1:13" s="328" customFormat="1" ht="13.5" x14ac:dyDescent="0.25">
      <c r="A13" s="270" t="s">
        <v>543</v>
      </c>
      <c r="B13" s="282"/>
      <c r="C13" s="211"/>
      <c r="D13" s="212"/>
      <c r="E13" s="212"/>
      <c r="F13" s="212"/>
      <c r="G13" s="212"/>
      <c r="H13" s="212"/>
      <c r="I13" s="212"/>
      <c r="J13" s="29">
        <f t="shared" si="2"/>
        <v>0</v>
      </c>
      <c r="K13" s="29">
        <f t="shared" si="3"/>
        <v>0</v>
      </c>
      <c r="L13" s="212"/>
      <c r="M13" s="213"/>
    </row>
    <row r="14" spans="1:13" s="328" customFormat="1" ht="13.5" x14ac:dyDescent="0.25">
      <c r="A14" s="270" t="s">
        <v>544</v>
      </c>
      <c r="B14" s="282"/>
      <c r="C14" s="211"/>
      <c r="D14" s="212"/>
      <c r="E14" s="212"/>
      <c r="F14" s="212"/>
      <c r="G14" s="212"/>
      <c r="H14" s="212"/>
      <c r="I14" s="212"/>
      <c r="J14" s="29">
        <f t="shared" si="2"/>
        <v>0</v>
      </c>
      <c r="K14" s="29">
        <f t="shared" si="3"/>
        <v>0</v>
      </c>
      <c r="L14" s="212"/>
      <c r="M14" s="213"/>
    </row>
    <row r="15" spans="1:13" s="328" customFormat="1" ht="13.5" x14ac:dyDescent="0.25">
      <c r="A15" s="270" t="s">
        <v>48</v>
      </c>
      <c r="B15" s="282"/>
      <c r="C15" s="211"/>
      <c r="D15" s="212"/>
      <c r="E15" s="212"/>
      <c r="F15" s="212"/>
      <c r="G15" s="212"/>
      <c r="H15" s="212"/>
      <c r="I15" s="212"/>
      <c r="J15" s="29">
        <f t="shared" si="2"/>
        <v>0</v>
      </c>
      <c r="K15" s="29">
        <f t="shared" si="3"/>
        <v>0</v>
      </c>
      <c r="L15" s="212"/>
      <c r="M15" s="213"/>
    </row>
    <row r="16" spans="1:13" s="328" customFormat="1" ht="13.5" x14ac:dyDescent="0.25">
      <c r="A16" s="271" t="s">
        <v>545</v>
      </c>
      <c r="B16" s="283"/>
      <c r="C16" s="424">
        <f t="shared" ref="C16:M16" si="5">SUM(C17:C19)</f>
        <v>0</v>
      </c>
      <c r="D16" s="312">
        <f t="shared" si="5"/>
        <v>0</v>
      </c>
      <c r="E16" s="312">
        <f t="shared" si="5"/>
        <v>0</v>
      </c>
      <c r="F16" s="312">
        <f t="shared" si="5"/>
        <v>0</v>
      </c>
      <c r="G16" s="312">
        <f t="shared" si="5"/>
        <v>0</v>
      </c>
      <c r="H16" s="312">
        <f t="shared" si="5"/>
        <v>0</v>
      </c>
      <c r="I16" s="312">
        <f t="shared" si="5"/>
        <v>0</v>
      </c>
      <c r="J16" s="29">
        <f t="shared" si="2"/>
        <v>0</v>
      </c>
      <c r="K16" s="29">
        <f t="shared" si="3"/>
        <v>0</v>
      </c>
      <c r="L16" s="312">
        <f t="shared" si="5"/>
        <v>0</v>
      </c>
      <c r="M16" s="313">
        <f t="shared" si="5"/>
        <v>0</v>
      </c>
    </row>
    <row r="17" spans="1:13" s="328" customFormat="1" ht="13.5" x14ac:dyDescent="0.25">
      <c r="A17" s="270" t="s">
        <v>546</v>
      </c>
      <c r="B17" s="282"/>
      <c r="C17" s="211"/>
      <c r="D17" s="212"/>
      <c r="E17" s="212"/>
      <c r="F17" s="212"/>
      <c r="G17" s="212"/>
      <c r="H17" s="212"/>
      <c r="I17" s="212"/>
      <c r="J17" s="29">
        <f t="shared" si="2"/>
        <v>0</v>
      </c>
      <c r="K17" s="29">
        <f t="shared" si="3"/>
        <v>0</v>
      </c>
      <c r="L17" s="212"/>
      <c r="M17" s="213"/>
    </row>
    <row r="18" spans="1:13" s="328" customFormat="1" ht="13.5" x14ac:dyDescent="0.25">
      <c r="A18" s="270" t="s">
        <v>547</v>
      </c>
      <c r="B18" s="282"/>
      <c r="C18" s="211"/>
      <c r="D18" s="212"/>
      <c r="E18" s="212"/>
      <c r="F18" s="212"/>
      <c r="G18" s="212"/>
      <c r="H18" s="212"/>
      <c r="I18" s="212"/>
      <c r="J18" s="29">
        <f t="shared" si="2"/>
        <v>0</v>
      </c>
      <c r="K18" s="29">
        <f t="shared" si="3"/>
        <v>0</v>
      </c>
      <c r="L18" s="212"/>
      <c r="M18" s="213"/>
    </row>
    <row r="19" spans="1:13" s="328" customFormat="1" ht="13.5" x14ac:dyDescent="0.25">
      <c r="A19" s="270" t="s">
        <v>548</v>
      </c>
      <c r="B19" s="282"/>
      <c r="C19" s="211"/>
      <c r="D19" s="212"/>
      <c r="E19" s="212"/>
      <c r="F19" s="212"/>
      <c r="G19" s="212"/>
      <c r="H19" s="212"/>
      <c r="I19" s="212"/>
      <c r="J19" s="29">
        <f t="shared" si="2"/>
        <v>0</v>
      </c>
      <c r="K19" s="29">
        <f t="shared" si="3"/>
        <v>0</v>
      </c>
      <c r="L19" s="212"/>
      <c r="M19" s="213"/>
    </row>
    <row r="20" spans="1:13" s="328" customFormat="1" ht="13.5" x14ac:dyDescent="0.25">
      <c r="A20" s="271" t="s">
        <v>549</v>
      </c>
      <c r="B20" s="282"/>
      <c r="C20" s="424">
        <f t="shared" ref="C20:M20" si="6">SUM(C21:C22)</f>
        <v>0</v>
      </c>
      <c r="D20" s="312">
        <f t="shared" si="6"/>
        <v>0</v>
      </c>
      <c r="E20" s="312">
        <f t="shared" si="6"/>
        <v>0</v>
      </c>
      <c r="F20" s="312">
        <f t="shared" si="6"/>
        <v>0</v>
      </c>
      <c r="G20" s="312">
        <f t="shared" si="6"/>
        <v>0</v>
      </c>
      <c r="H20" s="312">
        <f t="shared" si="6"/>
        <v>0</v>
      </c>
      <c r="I20" s="312">
        <f t="shared" si="6"/>
        <v>0</v>
      </c>
      <c r="J20" s="29">
        <f t="shared" si="2"/>
        <v>0</v>
      </c>
      <c r="K20" s="29">
        <f t="shared" si="3"/>
        <v>0</v>
      </c>
      <c r="L20" s="312">
        <f t="shared" si="6"/>
        <v>0</v>
      </c>
      <c r="M20" s="313">
        <f t="shared" si="6"/>
        <v>0</v>
      </c>
    </row>
    <row r="21" spans="1:13" s="328" customFormat="1" ht="13.5" x14ac:dyDescent="0.25">
      <c r="A21" s="270" t="s">
        <v>548</v>
      </c>
      <c r="B21" s="282"/>
      <c r="C21" s="211"/>
      <c r="D21" s="212"/>
      <c r="E21" s="212"/>
      <c r="F21" s="212"/>
      <c r="G21" s="212"/>
      <c r="H21" s="212"/>
      <c r="I21" s="212"/>
      <c r="J21" s="29">
        <f t="shared" si="2"/>
        <v>0</v>
      </c>
      <c r="K21" s="29">
        <f t="shared" si="3"/>
        <v>0</v>
      </c>
      <c r="L21" s="212"/>
      <c r="M21" s="213"/>
    </row>
    <row r="22" spans="1:13" s="328" customFormat="1" ht="13.5" x14ac:dyDescent="0.25">
      <c r="A22" s="270" t="s">
        <v>550</v>
      </c>
      <c r="B22" s="282"/>
      <c r="C22" s="211"/>
      <c r="D22" s="212"/>
      <c r="E22" s="212"/>
      <c r="F22" s="212"/>
      <c r="G22" s="212"/>
      <c r="H22" s="212"/>
      <c r="I22" s="212"/>
      <c r="J22" s="29">
        <f t="shared" si="2"/>
        <v>0</v>
      </c>
      <c r="K22" s="29">
        <f t="shared" si="3"/>
        <v>0</v>
      </c>
      <c r="L22" s="212"/>
      <c r="M22" s="213"/>
    </row>
    <row r="23" spans="1:13" s="328" customFormat="1" ht="13.5" x14ac:dyDescent="0.25">
      <c r="A23" s="265" t="s">
        <v>551</v>
      </c>
      <c r="B23" s="282"/>
      <c r="C23" s="424">
        <f t="shared" ref="C23:M23" si="7">SUM(C24:C27)</f>
        <v>0</v>
      </c>
      <c r="D23" s="312">
        <f t="shared" si="7"/>
        <v>0</v>
      </c>
      <c r="E23" s="312">
        <f t="shared" si="7"/>
        <v>0</v>
      </c>
      <c r="F23" s="312">
        <f t="shared" si="7"/>
        <v>0</v>
      </c>
      <c r="G23" s="312">
        <f t="shared" si="7"/>
        <v>0</v>
      </c>
      <c r="H23" s="312">
        <f t="shared" si="7"/>
        <v>0</v>
      </c>
      <c r="I23" s="312">
        <f t="shared" si="7"/>
        <v>0</v>
      </c>
      <c r="J23" s="29">
        <f t="shared" si="2"/>
        <v>0</v>
      </c>
      <c r="K23" s="29">
        <f t="shared" si="3"/>
        <v>0</v>
      </c>
      <c r="L23" s="312">
        <f t="shared" si="7"/>
        <v>0</v>
      </c>
      <c r="M23" s="313">
        <f t="shared" si="7"/>
        <v>0</v>
      </c>
    </row>
    <row r="24" spans="1:13" s="328" customFormat="1" ht="13.5" x14ac:dyDescent="0.25">
      <c r="A24" s="270" t="s">
        <v>92</v>
      </c>
      <c r="B24" s="282"/>
      <c r="C24" s="211"/>
      <c r="D24" s="212"/>
      <c r="E24" s="212"/>
      <c r="F24" s="212"/>
      <c r="G24" s="212"/>
      <c r="H24" s="212"/>
      <c r="I24" s="212"/>
      <c r="J24" s="29">
        <f t="shared" si="2"/>
        <v>0</v>
      </c>
      <c r="K24" s="29">
        <f t="shared" si="3"/>
        <v>0</v>
      </c>
      <c r="L24" s="212"/>
      <c r="M24" s="213"/>
    </row>
    <row r="25" spans="1:13" s="328" customFormat="1" ht="13.5" x14ac:dyDescent="0.25">
      <c r="A25" s="270" t="s">
        <v>552</v>
      </c>
      <c r="B25" s="282">
        <v>2</v>
      </c>
      <c r="C25" s="211"/>
      <c r="D25" s="212"/>
      <c r="E25" s="212"/>
      <c r="F25" s="212"/>
      <c r="G25" s="212"/>
      <c r="H25" s="212"/>
      <c r="I25" s="212"/>
      <c r="J25" s="29">
        <f t="shared" si="2"/>
        <v>0</v>
      </c>
      <c r="K25" s="29">
        <f t="shared" si="3"/>
        <v>0</v>
      </c>
      <c r="L25" s="212"/>
      <c r="M25" s="213"/>
    </row>
    <row r="26" spans="1:13" s="328" customFormat="1" ht="13.5" x14ac:dyDescent="0.25">
      <c r="A26" s="270" t="s">
        <v>49</v>
      </c>
      <c r="B26" s="282"/>
      <c r="C26" s="211"/>
      <c r="D26" s="212"/>
      <c r="E26" s="212"/>
      <c r="F26" s="212"/>
      <c r="G26" s="212"/>
      <c r="H26" s="212"/>
      <c r="I26" s="212"/>
      <c r="J26" s="29">
        <f t="shared" si="2"/>
        <v>0</v>
      </c>
      <c r="K26" s="29">
        <f t="shared" si="3"/>
        <v>0</v>
      </c>
      <c r="L26" s="212"/>
      <c r="M26" s="213"/>
    </row>
    <row r="27" spans="1:13" s="328" customFormat="1" ht="13.5" x14ac:dyDescent="0.25">
      <c r="A27" s="270" t="s">
        <v>239</v>
      </c>
      <c r="B27" s="282">
        <v>3</v>
      </c>
      <c r="C27" s="211"/>
      <c r="D27" s="212"/>
      <c r="E27" s="212"/>
      <c r="F27" s="212"/>
      <c r="G27" s="212"/>
      <c r="H27" s="212"/>
      <c r="I27" s="212"/>
      <c r="J27" s="29">
        <f t="shared" si="2"/>
        <v>0</v>
      </c>
      <c r="K27" s="29">
        <f t="shared" si="3"/>
        <v>0</v>
      </c>
      <c r="L27" s="212"/>
      <c r="M27" s="213"/>
    </row>
    <row r="28" spans="1:13" ht="5.0999999999999996" customHeight="1" x14ac:dyDescent="0.25">
      <c r="A28" s="27"/>
      <c r="B28" s="281"/>
      <c r="C28" s="30"/>
      <c r="D28" s="29"/>
      <c r="E28" s="29"/>
      <c r="F28" s="29"/>
      <c r="G28" s="29"/>
      <c r="H28" s="29"/>
      <c r="I28" s="29"/>
      <c r="J28" s="29">
        <f t="shared" si="2"/>
        <v>0</v>
      </c>
      <c r="K28" s="29">
        <f t="shared" si="3"/>
        <v>0</v>
      </c>
      <c r="L28" s="29"/>
      <c r="M28" s="85"/>
    </row>
    <row r="29" spans="1:13" ht="12.75" customHeight="1" x14ac:dyDescent="0.25">
      <c r="A29" s="23" t="s">
        <v>365</v>
      </c>
      <c r="B29" s="281"/>
      <c r="C29" s="425">
        <f t="shared" ref="C29:M29" si="8">SUM(C30:C43)</f>
        <v>0</v>
      </c>
      <c r="D29" s="33">
        <f t="shared" si="8"/>
        <v>0</v>
      </c>
      <c r="E29" s="33">
        <f t="shared" si="8"/>
        <v>0</v>
      </c>
      <c r="F29" s="33">
        <f t="shared" si="8"/>
        <v>0</v>
      </c>
      <c r="G29" s="33">
        <f t="shared" si="8"/>
        <v>0</v>
      </c>
      <c r="H29" s="33">
        <f t="shared" si="8"/>
        <v>0</v>
      </c>
      <c r="I29" s="33">
        <f t="shared" si="8"/>
        <v>0</v>
      </c>
      <c r="J29" s="33">
        <f>SUM(E29:I29)</f>
        <v>0</v>
      </c>
      <c r="K29" s="33">
        <f>IF(D29=0,C29+J29,D29+J29)</f>
        <v>0</v>
      </c>
      <c r="L29" s="33">
        <f t="shared" si="8"/>
        <v>0</v>
      </c>
      <c r="M29" s="103">
        <f t="shared" si="8"/>
        <v>0</v>
      </c>
    </row>
    <row r="30" spans="1:13" ht="12.75" customHeight="1" x14ac:dyDescent="0.25">
      <c r="A30" s="265" t="s">
        <v>553</v>
      </c>
      <c r="B30" s="281"/>
      <c r="C30" s="211"/>
      <c r="D30" s="212"/>
      <c r="E30" s="212"/>
      <c r="F30" s="212"/>
      <c r="G30" s="212"/>
      <c r="H30" s="212"/>
      <c r="I30" s="212"/>
      <c r="J30" s="29">
        <f t="shared" ref="J30:J41" si="9">SUM(E30:I30)</f>
        <v>0</v>
      </c>
      <c r="K30" s="29">
        <f t="shared" ref="K30:K41" si="10">IF(D30=0,C30+J30,D30+J30)</f>
        <v>0</v>
      </c>
      <c r="L30" s="212"/>
      <c r="M30" s="213"/>
    </row>
    <row r="31" spans="1:13" ht="12.75" customHeight="1" x14ac:dyDescent="0.25">
      <c r="A31" s="265" t="s">
        <v>554</v>
      </c>
      <c r="B31" s="281"/>
      <c r="C31" s="211"/>
      <c r="D31" s="212"/>
      <c r="E31" s="212"/>
      <c r="F31" s="212"/>
      <c r="G31" s="212"/>
      <c r="H31" s="212"/>
      <c r="I31" s="212"/>
      <c r="J31" s="29">
        <f t="shared" si="9"/>
        <v>0</v>
      </c>
      <c r="K31" s="29">
        <f t="shared" si="10"/>
        <v>0</v>
      </c>
      <c r="L31" s="212"/>
      <c r="M31" s="213"/>
    </row>
    <row r="32" spans="1:13" ht="12.75" customHeight="1" x14ac:dyDescent="0.25">
      <c r="A32" s="265" t="s">
        <v>555</v>
      </c>
      <c r="B32" s="281"/>
      <c r="C32" s="211"/>
      <c r="D32" s="212"/>
      <c r="E32" s="212"/>
      <c r="F32" s="212"/>
      <c r="G32" s="212"/>
      <c r="H32" s="212"/>
      <c r="I32" s="212"/>
      <c r="J32" s="29">
        <f t="shared" si="9"/>
        <v>0</v>
      </c>
      <c r="K32" s="29">
        <f t="shared" si="10"/>
        <v>0</v>
      </c>
      <c r="L32" s="212"/>
      <c r="M32" s="213"/>
    </row>
    <row r="33" spans="1:13" ht="12.75" customHeight="1" x14ac:dyDescent="0.25">
      <c r="A33" s="265" t="s">
        <v>556</v>
      </c>
      <c r="B33" s="281"/>
      <c r="C33" s="211"/>
      <c r="D33" s="212"/>
      <c r="E33" s="212"/>
      <c r="F33" s="212"/>
      <c r="G33" s="212"/>
      <c r="H33" s="212"/>
      <c r="I33" s="212"/>
      <c r="J33" s="29">
        <f t="shared" si="9"/>
        <v>0</v>
      </c>
      <c r="K33" s="29">
        <f t="shared" si="10"/>
        <v>0</v>
      </c>
      <c r="L33" s="212"/>
      <c r="M33" s="213"/>
    </row>
    <row r="34" spans="1:13" ht="12.75" customHeight="1" x14ac:dyDescent="0.25">
      <c r="A34" s="265" t="s">
        <v>89</v>
      </c>
      <c r="B34" s="281"/>
      <c r="C34" s="211"/>
      <c r="D34" s="212"/>
      <c r="E34" s="212"/>
      <c r="F34" s="212"/>
      <c r="G34" s="212"/>
      <c r="H34" s="212"/>
      <c r="I34" s="212"/>
      <c r="J34" s="29">
        <f t="shared" si="9"/>
        <v>0</v>
      </c>
      <c r="K34" s="29">
        <f t="shared" si="10"/>
        <v>0</v>
      </c>
      <c r="L34" s="212"/>
      <c r="M34" s="213"/>
    </row>
    <row r="35" spans="1:13" ht="12.75" customHeight="1" x14ac:dyDescent="0.25">
      <c r="A35" s="265" t="s">
        <v>557</v>
      </c>
      <c r="B35" s="281"/>
      <c r="C35" s="211"/>
      <c r="D35" s="212"/>
      <c r="E35" s="212"/>
      <c r="F35" s="212"/>
      <c r="G35" s="212"/>
      <c r="H35" s="212"/>
      <c r="I35" s="212"/>
      <c r="J35" s="29">
        <f t="shared" si="9"/>
        <v>0</v>
      </c>
      <c r="K35" s="29">
        <f t="shared" si="10"/>
        <v>0</v>
      </c>
      <c r="L35" s="212"/>
      <c r="M35" s="213"/>
    </row>
    <row r="36" spans="1:13" ht="12.75" customHeight="1" x14ac:dyDescent="0.25">
      <c r="A36" s="265" t="s">
        <v>558</v>
      </c>
      <c r="B36" s="281"/>
      <c r="C36" s="211"/>
      <c r="D36" s="212"/>
      <c r="E36" s="212"/>
      <c r="F36" s="212"/>
      <c r="G36" s="212"/>
      <c r="H36" s="212"/>
      <c r="I36" s="212"/>
      <c r="J36" s="29">
        <f t="shared" si="9"/>
        <v>0</v>
      </c>
      <c r="K36" s="29">
        <f t="shared" si="10"/>
        <v>0</v>
      </c>
      <c r="L36" s="212"/>
      <c r="M36" s="213"/>
    </row>
    <row r="37" spans="1:13" ht="12.75" customHeight="1" x14ac:dyDescent="0.25">
      <c r="A37" s="265" t="s">
        <v>559</v>
      </c>
      <c r="B37" s="281"/>
      <c r="C37" s="211"/>
      <c r="D37" s="212"/>
      <c r="E37" s="212"/>
      <c r="F37" s="212"/>
      <c r="G37" s="212"/>
      <c r="H37" s="212"/>
      <c r="I37" s="212"/>
      <c r="J37" s="29">
        <f t="shared" si="9"/>
        <v>0</v>
      </c>
      <c r="K37" s="29">
        <f t="shared" si="10"/>
        <v>0</v>
      </c>
      <c r="L37" s="212"/>
      <c r="M37" s="213"/>
    </row>
    <row r="38" spans="1:13" ht="12.75" customHeight="1" x14ac:dyDescent="0.25">
      <c r="A38" s="265" t="s">
        <v>132</v>
      </c>
      <c r="B38" s="281"/>
      <c r="C38" s="211"/>
      <c r="D38" s="212"/>
      <c r="E38" s="212"/>
      <c r="F38" s="212"/>
      <c r="G38" s="212"/>
      <c r="H38" s="212"/>
      <c r="I38" s="212"/>
      <c r="J38" s="29">
        <f t="shared" si="9"/>
        <v>0</v>
      </c>
      <c r="K38" s="29">
        <f t="shared" si="10"/>
        <v>0</v>
      </c>
      <c r="L38" s="212"/>
      <c r="M38" s="213"/>
    </row>
    <row r="39" spans="1:13" ht="12.75" customHeight="1" x14ac:dyDescent="0.25">
      <c r="A39" s="265" t="s">
        <v>274</v>
      </c>
      <c r="B39" s="281"/>
      <c r="C39" s="211"/>
      <c r="D39" s="212"/>
      <c r="E39" s="212"/>
      <c r="F39" s="212"/>
      <c r="G39" s="212"/>
      <c r="H39" s="212"/>
      <c r="I39" s="212"/>
      <c r="J39" s="29">
        <f t="shared" si="9"/>
        <v>0</v>
      </c>
      <c r="K39" s="29">
        <f t="shared" si="10"/>
        <v>0</v>
      </c>
      <c r="L39" s="212"/>
      <c r="M39" s="213"/>
    </row>
    <row r="40" spans="1:13" ht="12.75" customHeight="1" x14ac:dyDescent="0.25">
      <c r="A40" s="265" t="s">
        <v>275</v>
      </c>
      <c r="B40" s="281"/>
      <c r="C40" s="211"/>
      <c r="D40" s="212"/>
      <c r="E40" s="212"/>
      <c r="F40" s="212"/>
      <c r="G40" s="212"/>
      <c r="H40" s="212"/>
      <c r="I40" s="212"/>
      <c r="J40" s="29">
        <f t="shared" si="9"/>
        <v>0</v>
      </c>
      <c r="K40" s="29">
        <f t="shared" si="10"/>
        <v>0</v>
      </c>
      <c r="L40" s="212"/>
      <c r="M40" s="213"/>
    </row>
    <row r="41" spans="1:13" ht="12.75" customHeight="1" x14ac:dyDescent="0.25">
      <c r="A41" s="265" t="s">
        <v>560</v>
      </c>
      <c r="B41" s="281"/>
      <c r="C41" s="211"/>
      <c r="D41" s="212"/>
      <c r="E41" s="212"/>
      <c r="F41" s="212"/>
      <c r="G41" s="212"/>
      <c r="H41" s="212"/>
      <c r="I41" s="212"/>
      <c r="J41" s="29">
        <f t="shared" si="9"/>
        <v>0</v>
      </c>
      <c r="K41" s="29">
        <f t="shared" si="10"/>
        <v>0</v>
      </c>
      <c r="L41" s="212"/>
      <c r="M41" s="213"/>
    </row>
    <row r="42" spans="1:13" ht="12.75" customHeight="1" x14ac:dyDescent="0.25">
      <c r="A42" s="265" t="s">
        <v>561</v>
      </c>
      <c r="B42" s="281"/>
      <c r="C42" s="211"/>
      <c r="D42" s="212"/>
      <c r="E42" s="212"/>
      <c r="F42" s="212"/>
      <c r="G42" s="212"/>
      <c r="H42" s="212"/>
      <c r="I42" s="212"/>
      <c r="J42" s="29">
        <f>SUM(E42:I42)</f>
        <v>0</v>
      </c>
      <c r="K42" s="29">
        <f>IF(D42=0,C42+J42,D42+J42)</f>
        <v>0</v>
      </c>
      <c r="L42" s="212"/>
      <c r="M42" s="213"/>
    </row>
    <row r="43" spans="1:13" ht="12.75" customHeight="1" x14ac:dyDescent="0.25">
      <c r="A43" s="26" t="s">
        <v>239</v>
      </c>
      <c r="B43" s="281"/>
      <c r="C43" s="211"/>
      <c r="D43" s="212"/>
      <c r="E43" s="212"/>
      <c r="F43" s="212"/>
      <c r="G43" s="212"/>
      <c r="H43" s="212"/>
      <c r="I43" s="212"/>
      <c r="J43" s="29">
        <f>SUM(E43:I43)</f>
        <v>0</v>
      </c>
      <c r="K43" s="29">
        <f>IF(D43=0,C43+J43,D43+J43)</f>
        <v>0</v>
      </c>
      <c r="L43" s="212"/>
      <c r="M43" s="213"/>
    </row>
    <row r="44" spans="1:13" ht="5.0999999999999996" customHeight="1" x14ac:dyDescent="0.25">
      <c r="A44" s="27"/>
      <c r="B44" s="281"/>
      <c r="C44" s="30"/>
      <c r="D44" s="29"/>
      <c r="E44" s="29"/>
      <c r="F44" s="29"/>
      <c r="G44" s="29"/>
      <c r="H44" s="29"/>
      <c r="I44" s="29"/>
      <c r="J44" s="29"/>
      <c r="K44" s="29"/>
      <c r="L44" s="29"/>
      <c r="M44" s="85"/>
    </row>
    <row r="45" spans="1:13" ht="17.25" customHeight="1" x14ac:dyDescent="0.25">
      <c r="A45" s="269" t="s">
        <v>194</v>
      </c>
      <c r="B45" s="282"/>
      <c r="C45" s="425">
        <f>SUM(C46:C47)</f>
        <v>0</v>
      </c>
      <c r="D45" s="33">
        <f t="shared" ref="D45:M45" si="11">SUM(D46:D47)</f>
        <v>0</v>
      </c>
      <c r="E45" s="33">
        <f t="shared" si="11"/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>SUM(J46:J47)</f>
        <v>0</v>
      </c>
      <c r="K45" s="33">
        <f>SUM(K46:K47)</f>
        <v>0</v>
      </c>
      <c r="L45" s="33">
        <f t="shared" si="11"/>
        <v>0</v>
      </c>
      <c r="M45" s="103">
        <f t="shared" si="11"/>
        <v>0</v>
      </c>
    </row>
    <row r="46" spans="1:13" ht="11.25" customHeight="1" x14ac:dyDescent="0.25">
      <c r="A46" s="265" t="s">
        <v>562</v>
      </c>
      <c r="B46" s="282"/>
      <c r="C46" s="211"/>
      <c r="D46" s="212"/>
      <c r="E46" s="212"/>
      <c r="F46" s="212"/>
      <c r="G46" s="212"/>
      <c r="H46" s="212"/>
      <c r="I46" s="212"/>
      <c r="J46" s="29">
        <f>SUM(E46:I46)</f>
        <v>0</v>
      </c>
      <c r="K46" s="29">
        <f>IF(D46=0,C46+J46,D46+J46)</f>
        <v>0</v>
      </c>
      <c r="L46" s="212"/>
      <c r="M46" s="213"/>
    </row>
    <row r="47" spans="1:13" ht="11.25" customHeight="1" x14ac:dyDescent="0.25">
      <c r="A47" s="271" t="s">
        <v>239</v>
      </c>
      <c r="B47" s="282"/>
      <c r="C47" s="211"/>
      <c r="D47" s="212"/>
      <c r="E47" s="212"/>
      <c r="F47" s="212"/>
      <c r="G47" s="212"/>
      <c r="H47" s="212"/>
      <c r="I47" s="212"/>
      <c r="J47" s="29">
        <f>SUM(E47:I47)</f>
        <v>0</v>
      </c>
      <c r="K47" s="29">
        <f>IF(D47=0,C47+J47,D47+J47)</f>
        <v>0</v>
      </c>
      <c r="L47" s="212"/>
      <c r="M47" s="213"/>
    </row>
    <row r="48" spans="1:13" ht="5.0999999999999996" customHeight="1" x14ac:dyDescent="0.25">
      <c r="A48" s="272"/>
      <c r="B48" s="282"/>
      <c r="C48" s="393"/>
      <c r="D48" s="238"/>
      <c r="E48" s="238"/>
      <c r="F48" s="238"/>
      <c r="G48" s="238"/>
      <c r="H48" s="238"/>
      <c r="I48" s="238"/>
      <c r="J48" s="29"/>
      <c r="K48" s="29"/>
      <c r="L48" s="29"/>
      <c r="M48" s="85"/>
    </row>
    <row r="49" spans="1:13" ht="17.25" customHeight="1" x14ac:dyDescent="0.25">
      <c r="A49" s="269" t="s">
        <v>195</v>
      </c>
      <c r="B49" s="282"/>
      <c r="C49" s="425">
        <f t="shared" ref="C49:M49" si="12">SUM(C50:C51)</f>
        <v>0</v>
      </c>
      <c r="D49" s="33">
        <f t="shared" si="12"/>
        <v>0</v>
      </c>
      <c r="E49" s="33">
        <f t="shared" si="12"/>
        <v>0</v>
      </c>
      <c r="F49" s="33">
        <f t="shared" si="12"/>
        <v>0</v>
      </c>
      <c r="G49" s="33">
        <f t="shared" si="12"/>
        <v>0</v>
      </c>
      <c r="H49" s="33">
        <f t="shared" si="12"/>
        <v>0</v>
      </c>
      <c r="I49" s="33">
        <f t="shared" si="12"/>
        <v>0</v>
      </c>
      <c r="J49" s="33">
        <f>SUM(J50:J51)</f>
        <v>0</v>
      </c>
      <c r="K49" s="33">
        <f>SUM(K50:K51)</f>
        <v>0</v>
      </c>
      <c r="L49" s="33">
        <f t="shared" si="12"/>
        <v>0</v>
      </c>
      <c r="M49" s="103">
        <f t="shared" si="12"/>
        <v>0</v>
      </c>
    </row>
    <row r="50" spans="1:13" ht="11.25" customHeight="1" x14ac:dyDescent="0.25">
      <c r="A50" s="265" t="s">
        <v>563</v>
      </c>
      <c r="B50" s="282"/>
      <c r="C50" s="211"/>
      <c r="D50" s="212"/>
      <c r="E50" s="212"/>
      <c r="F50" s="212"/>
      <c r="G50" s="212"/>
      <c r="H50" s="212"/>
      <c r="I50" s="212"/>
      <c r="J50" s="29">
        <f>SUM(E50:I50)</f>
        <v>0</v>
      </c>
      <c r="K50" s="29">
        <f>IF(D50=0,C50+J50,D50+J50)</f>
        <v>0</v>
      </c>
      <c r="L50" s="212"/>
      <c r="M50" s="213"/>
    </row>
    <row r="51" spans="1:13" ht="11.25" customHeight="1" x14ac:dyDescent="0.25">
      <c r="A51" s="265" t="s">
        <v>239</v>
      </c>
      <c r="B51" s="282"/>
      <c r="C51" s="211"/>
      <c r="D51" s="212"/>
      <c r="E51" s="212"/>
      <c r="F51" s="212"/>
      <c r="G51" s="212"/>
      <c r="H51" s="212"/>
      <c r="I51" s="212"/>
      <c r="J51" s="29">
        <f>SUM(E51:I51)</f>
        <v>0</v>
      </c>
      <c r="K51" s="29">
        <f>IF(D51=0,C51+J51,D51+J51)</f>
        <v>0</v>
      </c>
      <c r="L51" s="212"/>
      <c r="M51" s="213"/>
    </row>
    <row r="52" spans="1:13" ht="5.0999999999999996" customHeight="1" x14ac:dyDescent="0.25">
      <c r="A52" s="272"/>
      <c r="B52" s="282"/>
      <c r="C52" s="30"/>
      <c r="D52" s="29"/>
      <c r="E52" s="29"/>
      <c r="F52" s="29"/>
      <c r="G52" s="29"/>
      <c r="H52" s="29"/>
      <c r="I52" s="29"/>
      <c r="J52" s="29"/>
      <c r="K52" s="29"/>
      <c r="L52" s="29"/>
      <c r="M52" s="85"/>
    </row>
    <row r="53" spans="1:13" ht="12.75" customHeight="1" x14ac:dyDescent="0.25">
      <c r="A53" s="23" t="s">
        <v>196</v>
      </c>
      <c r="B53" s="281"/>
      <c r="C53" s="425">
        <f t="shared" ref="C53:M53" si="13">SUM(C54:C65)</f>
        <v>83106</v>
      </c>
      <c r="D53" s="33">
        <f t="shared" si="13"/>
        <v>0</v>
      </c>
      <c r="E53" s="33">
        <f t="shared" si="13"/>
        <v>0</v>
      </c>
      <c r="F53" s="33">
        <f t="shared" si="13"/>
        <v>0</v>
      </c>
      <c r="G53" s="33">
        <f t="shared" si="13"/>
        <v>0</v>
      </c>
      <c r="H53" s="33">
        <f t="shared" si="13"/>
        <v>0</v>
      </c>
      <c r="I53" s="33">
        <f t="shared" si="13"/>
        <v>0</v>
      </c>
      <c r="J53" s="33">
        <f>SUM(J54:J65)</f>
        <v>0</v>
      </c>
      <c r="K53" s="33">
        <f t="shared" si="13"/>
        <v>83106</v>
      </c>
      <c r="L53" s="33">
        <f t="shared" si="13"/>
        <v>0</v>
      </c>
      <c r="M53" s="103">
        <f t="shared" si="13"/>
        <v>0</v>
      </c>
    </row>
    <row r="54" spans="1:13" ht="12.75" customHeight="1" x14ac:dyDescent="0.25">
      <c r="A54" s="271" t="s">
        <v>564</v>
      </c>
      <c r="B54" s="281"/>
      <c r="C54" s="211"/>
      <c r="D54" s="212"/>
      <c r="E54" s="212"/>
      <c r="F54" s="212"/>
      <c r="G54" s="212"/>
      <c r="H54" s="212"/>
      <c r="I54" s="212"/>
      <c r="J54" s="29">
        <f>SUM(E54:I54)</f>
        <v>0</v>
      </c>
      <c r="K54" s="29">
        <f>IF(D54=0,C54+J54,D54+J54)</f>
        <v>0</v>
      </c>
      <c r="L54" s="212"/>
      <c r="M54" s="213"/>
    </row>
    <row r="55" spans="1:13" ht="12.75" customHeight="1" x14ac:dyDescent="0.25">
      <c r="A55" s="271" t="s">
        <v>238</v>
      </c>
      <c r="B55" s="281"/>
      <c r="C55" s="424">
        <f>C81</f>
        <v>0</v>
      </c>
      <c r="D55" s="312">
        <f t="shared" ref="D55:I55" si="14">D81</f>
        <v>0</v>
      </c>
      <c r="E55" s="312">
        <f t="shared" si="14"/>
        <v>0</v>
      </c>
      <c r="F55" s="312">
        <f t="shared" si="14"/>
        <v>0</v>
      </c>
      <c r="G55" s="312">
        <f t="shared" si="14"/>
        <v>0</v>
      </c>
      <c r="H55" s="312">
        <f t="shared" si="14"/>
        <v>0</v>
      </c>
      <c r="I55" s="312">
        <f t="shared" si="14"/>
        <v>0</v>
      </c>
      <c r="J55" s="312">
        <f>SUM(E55:I55)</f>
        <v>0</v>
      </c>
      <c r="K55" s="312">
        <f>IF(D55=0,C55+J55,D55+J55)</f>
        <v>0</v>
      </c>
      <c r="L55" s="312">
        <f>L81</f>
        <v>0</v>
      </c>
      <c r="M55" s="313">
        <f>M81</f>
        <v>0</v>
      </c>
    </row>
    <row r="56" spans="1:13" ht="12.75" customHeight="1" x14ac:dyDescent="0.25">
      <c r="A56" s="271" t="s">
        <v>7</v>
      </c>
      <c r="B56" s="281"/>
      <c r="C56" s="211"/>
      <c r="D56" s="212"/>
      <c r="E56" s="212"/>
      <c r="F56" s="212"/>
      <c r="G56" s="212"/>
      <c r="H56" s="212"/>
      <c r="I56" s="212"/>
      <c r="J56" s="29">
        <f t="shared" ref="J56:J65" si="15">SUM(E56:I56)</f>
        <v>0</v>
      </c>
      <c r="K56" s="29">
        <f t="shared" ref="K56:K65" si="16">IF(D56=0,C56+J56,D56+J56)</f>
        <v>0</v>
      </c>
      <c r="L56" s="212"/>
      <c r="M56" s="213"/>
    </row>
    <row r="57" spans="1:13" ht="12.75" customHeight="1" x14ac:dyDescent="0.25">
      <c r="A57" s="271" t="s">
        <v>565</v>
      </c>
      <c r="B57" s="281"/>
      <c r="C57" s="211">
        <v>83106</v>
      </c>
      <c r="D57" s="212"/>
      <c r="E57" s="212"/>
      <c r="F57" s="212"/>
      <c r="G57" s="212"/>
      <c r="H57" s="212"/>
      <c r="I57" s="212"/>
      <c r="J57" s="29">
        <f t="shared" si="15"/>
        <v>0</v>
      </c>
      <c r="K57" s="29">
        <f t="shared" si="16"/>
        <v>83106</v>
      </c>
      <c r="L57" s="212"/>
      <c r="M57" s="213"/>
    </row>
    <row r="58" spans="1:13" ht="12.75" customHeight="1" x14ac:dyDescent="0.25">
      <c r="A58" s="271" t="s">
        <v>566</v>
      </c>
      <c r="B58" s="281"/>
      <c r="C58" s="211"/>
      <c r="D58" s="212"/>
      <c r="E58" s="212"/>
      <c r="F58" s="212"/>
      <c r="G58" s="212"/>
      <c r="H58" s="212"/>
      <c r="I58" s="212"/>
      <c r="J58" s="29">
        <f t="shared" si="15"/>
        <v>0</v>
      </c>
      <c r="K58" s="29">
        <f t="shared" si="16"/>
        <v>0</v>
      </c>
      <c r="L58" s="212"/>
      <c r="M58" s="213"/>
    </row>
    <row r="59" spans="1:13" ht="12.75" customHeight="1" x14ac:dyDescent="0.25">
      <c r="A59" s="271" t="s">
        <v>8</v>
      </c>
      <c r="B59" s="281"/>
      <c r="C59" s="211"/>
      <c r="D59" s="212"/>
      <c r="E59" s="212"/>
      <c r="F59" s="212"/>
      <c r="G59" s="212"/>
      <c r="H59" s="212"/>
      <c r="I59" s="212"/>
      <c r="J59" s="29">
        <f t="shared" si="15"/>
        <v>0</v>
      </c>
      <c r="K59" s="29">
        <f t="shared" si="16"/>
        <v>0</v>
      </c>
      <c r="L59" s="212"/>
      <c r="M59" s="213"/>
    </row>
    <row r="60" spans="1:13" ht="12.75" customHeight="1" x14ac:dyDescent="0.25">
      <c r="A60" s="271" t="s">
        <v>9</v>
      </c>
      <c r="B60" s="281"/>
      <c r="C60" s="211"/>
      <c r="D60" s="212"/>
      <c r="E60" s="212"/>
      <c r="F60" s="212"/>
      <c r="G60" s="212"/>
      <c r="H60" s="212"/>
      <c r="I60" s="212"/>
      <c r="J60" s="29">
        <f t="shared" si="15"/>
        <v>0</v>
      </c>
      <c r="K60" s="29">
        <f t="shared" si="16"/>
        <v>0</v>
      </c>
      <c r="L60" s="212"/>
      <c r="M60" s="213"/>
    </row>
    <row r="61" spans="1:13" ht="12.75" customHeight="1" x14ac:dyDescent="0.25">
      <c r="A61" s="271" t="s">
        <v>128</v>
      </c>
      <c r="B61" s="281"/>
      <c r="C61" s="211"/>
      <c r="D61" s="212"/>
      <c r="E61" s="212"/>
      <c r="F61" s="212"/>
      <c r="G61" s="212"/>
      <c r="H61" s="212"/>
      <c r="I61" s="212"/>
      <c r="J61" s="29">
        <f t="shared" si="15"/>
        <v>0</v>
      </c>
      <c r="K61" s="29">
        <f t="shared" si="16"/>
        <v>0</v>
      </c>
      <c r="L61" s="212"/>
      <c r="M61" s="213"/>
    </row>
    <row r="62" spans="1:13" ht="12.75" customHeight="1" x14ac:dyDescent="0.25">
      <c r="A62" s="271" t="s">
        <v>567</v>
      </c>
      <c r="B62" s="281"/>
      <c r="C62" s="211"/>
      <c r="D62" s="212"/>
      <c r="E62" s="212"/>
      <c r="F62" s="212"/>
      <c r="G62" s="212"/>
      <c r="H62" s="212"/>
      <c r="I62" s="212"/>
      <c r="J62" s="29">
        <f t="shared" si="15"/>
        <v>0</v>
      </c>
      <c r="K62" s="29">
        <f t="shared" si="16"/>
        <v>0</v>
      </c>
      <c r="L62" s="212"/>
      <c r="M62" s="213"/>
    </row>
    <row r="63" spans="1:13" ht="12.75" customHeight="1" x14ac:dyDescent="0.25">
      <c r="A63" s="271" t="s">
        <v>568</v>
      </c>
      <c r="B63" s="281"/>
      <c r="C63" s="211"/>
      <c r="D63" s="212"/>
      <c r="E63" s="212"/>
      <c r="F63" s="212"/>
      <c r="G63" s="212"/>
      <c r="H63" s="212"/>
      <c r="I63" s="212"/>
      <c r="J63" s="29">
        <f t="shared" si="15"/>
        <v>0</v>
      </c>
      <c r="K63" s="29">
        <f t="shared" si="16"/>
        <v>0</v>
      </c>
      <c r="L63" s="212"/>
      <c r="M63" s="213"/>
    </row>
    <row r="64" spans="1:13" ht="12.75" customHeight="1" x14ac:dyDescent="0.25">
      <c r="A64" s="271" t="s">
        <v>569</v>
      </c>
      <c r="B64" s="281"/>
      <c r="C64" s="211"/>
      <c r="D64" s="212"/>
      <c r="E64" s="212"/>
      <c r="F64" s="212"/>
      <c r="G64" s="212"/>
      <c r="H64" s="212"/>
      <c r="I64" s="212"/>
      <c r="J64" s="29">
        <f t="shared" si="15"/>
        <v>0</v>
      </c>
      <c r="K64" s="29">
        <f t="shared" si="16"/>
        <v>0</v>
      </c>
      <c r="L64" s="212"/>
      <c r="M64" s="213"/>
    </row>
    <row r="65" spans="1:24" ht="12.75" customHeight="1" x14ac:dyDescent="0.25">
      <c r="A65" s="26" t="s">
        <v>239</v>
      </c>
      <c r="B65" s="281"/>
      <c r="C65" s="211"/>
      <c r="D65" s="212"/>
      <c r="E65" s="212"/>
      <c r="F65" s="212"/>
      <c r="G65" s="212"/>
      <c r="H65" s="212"/>
      <c r="I65" s="212"/>
      <c r="J65" s="29">
        <f t="shared" si="15"/>
        <v>0</v>
      </c>
      <c r="K65" s="29">
        <f t="shared" si="16"/>
        <v>0</v>
      </c>
      <c r="L65" s="212"/>
      <c r="M65" s="213"/>
    </row>
    <row r="66" spans="1:24" ht="5.0999999999999996" customHeight="1" x14ac:dyDescent="0.25">
      <c r="A66" s="273"/>
      <c r="B66" s="282"/>
      <c r="C66" s="30"/>
      <c r="D66" s="29"/>
      <c r="E66" s="29"/>
      <c r="F66" s="29"/>
      <c r="G66" s="29"/>
      <c r="H66" s="29"/>
      <c r="I66" s="29"/>
      <c r="J66" s="29"/>
      <c r="K66" s="29"/>
      <c r="L66" s="29"/>
      <c r="M66" s="85"/>
    </row>
    <row r="67" spans="1:24" ht="17.25" customHeight="1" x14ac:dyDescent="0.25">
      <c r="A67" s="269" t="s">
        <v>303</v>
      </c>
      <c r="B67" s="282"/>
      <c r="C67" s="425">
        <f t="shared" ref="C67:M67" si="17">SUM(C68:C69)</f>
        <v>0</v>
      </c>
      <c r="D67" s="33">
        <f t="shared" si="17"/>
        <v>0</v>
      </c>
      <c r="E67" s="33">
        <f t="shared" si="17"/>
        <v>0</v>
      </c>
      <c r="F67" s="33">
        <f t="shared" si="17"/>
        <v>0</v>
      </c>
      <c r="G67" s="33">
        <f t="shared" si="17"/>
        <v>0</v>
      </c>
      <c r="H67" s="33">
        <f t="shared" si="17"/>
        <v>0</v>
      </c>
      <c r="I67" s="33">
        <f t="shared" si="17"/>
        <v>0</v>
      </c>
      <c r="J67" s="33">
        <f>SUM(J68:J69)</f>
        <v>0</v>
      </c>
      <c r="K67" s="33">
        <f t="shared" si="17"/>
        <v>0</v>
      </c>
      <c r="L67" s="33">
        <f t="shared" si="17"/>
        <v>0</v>
      </c>
      <c r="M67" s="103">
        <f t="shared" si="17"/>
        <v>0</v>
      </c>
    </row>
    <row r="68" spans="1:24" ht="11.25" customHeight="1" x14ac:dyDescent="0.25">
      <c r="A68" s="274" t="s">
        <v>318</v>
      </c>
      <c r="B68" s="282"/>
      <c r="C68" s="211"/>
      <c r="D68" s="212"/>
      <c r="E68" s="212"/>
      <c r="F68" s="212"/>
      <c r="G68" s="212"/>
      <c r="H68" s="212"/>
      <c r="I68" s="212"/>
      <c r="J68" s="29">
        <f>SUM(E68:I68)</f>
        <v>0</v>
      </c>
      <c r="K68" s="29">
        <f>IF(D68=0,C68+J68,D68+J68)</f>
        <v>0</v>
      </c>
      <c r="L68" s="212"/>
      <c r="M68" s="213"/>
    </row>
    <row r="69" spans="1:24" ht="11.25" customHeight="1" x14ac:dyDescent="0.25">
      <c r="A69" s="274"/>
      <c r="B69" s="282"/>
      <c r="C69" s="211"/>
      <c r="D69" s="212"/>
      <c r="E69" s="212"/>
      <c r="F69" s="212"/>
      <c r="G69" s="212"/>
      <c r="H69" s="212"/>
      <c r="I69" s="212"/>
      <c r="J69" s="29">
        <f>SUM(E69:I69)</f>
        <v>0</v>
      </c>
      <c r="K69" s="29">
        <f>IF(D69=0,C69+J69,D69+J69)</f>
        <v>0</v>
      </c>
      <c r="L69" s="212"/>
      <c r="M69" s="213"/>
    </row>
    <row r="70" spans="1:24" ht="5.0999999999999996" customHeight="1" x14ac:dyDescent="0.25">
      <c r="A70" s="273"/>
      <c r="B70" s="282"/>
      <c r="C70" s="30"/>
      <c r="D70" s="29"/>
      <c r="E70" s="29"/>
      <c r="F70" s="29"/>
      <c r="G70" s="29"/>
      <c r="H70" s="29"/>
      <c r="I70" s="29"/>
      <c r="J70" s="29"/>
      <c r="K70" s="29"/>
      <c r="L70" s="29"/>
      <c r="M70" s="85"/>
    </row>
    <row r="71" spans="1:24" ht="17.25" customHeight="1" x14ac:dyDescent="0.25">
      <c r="A71" s="269" t="s">
        <v>27</v>
      </c>
      <c r="B71" s="282"/>
      <c r="C71" s="425">
        <f t="shared" ref="C71:M71" si="18">SUM(C72:C73)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  <c r="H71" s="33">
        <f t="shared" si="18"/>
        <v>0</v>
      </c>
      <c r="I71" s="33">
        <f t="shared" si="18"/>
        <v>0</v>
      </c>
      <c r="J71" s="33">
        <f>SUM(J72:J73)</f>
        <v>0</v>
      </c>
      <c r="K71" s="33">
        <f t="shared" si="18"/>
        <v>0</v>
      </c>
      <c r="L71" s="33">
        <f t="shared" si="18"/>
        <v>0</v>
      </c>
      <c r="M71" s="103">
        <f t="shared" si="18"/>
        <v>0</v>
      </c>
    </row>
    <row r="72" spans="1:24" ht="11.25" customHeight="1" x14ac:dyDescent="0.25">
      <c r="A72" s="274" t="s">
        <v>318</v>
      </c>
      <c r="B72" s="282"/>
      <c r="C72" s="211"/>
      <c r="D72" s="212"/>
      <c r="E72" s="212"/>
      <c r="F72" s="212"/>
      <c r="G72" s="212"/>
      <c r="H72" s="212"/>
      <c r="I72" s="212"/>
      <c r="J72" s="29">
        <f>SUM(E72:I72)</f>
        <v>0</v>
      </c>
      <c r="K72" s="29">
        <f>IF(D72=0,C72+J72,D72+J72)</f>
        <v>0</v>
      </c>
      <c r="L72" s="212"/>
      <c r="M72" s="213"/>
    </row>
    <row r="73" spans="1:24" ht="11.25" customHeight="1" x14ac:dyDescent="0.25">
      <c r="A73" s="274"/>
      <c r="B73" s="282"/>
      <c r="C73" s="211"/>
      <c r="D73" s="212"/>
      <c r="E73" s="212"/>
      <c r="F73" s="212"/>
      <c r="G73" s="212"/>
      <c r="H73" s="212"/>
      <c r="I73" s="212"/>
      <c r="J73" s="29">
        <f>SUM(E73:I73)</f>
        <v>0</v>
      </c>
      <c r="K73" s="29">
        <f>IF(D73=0,C73+J73,D73+J73)</f>
        <v>0</v>
      </c>
      <c r="L73" s="212"/>
      <c r="M73" s="213"/>
    </row>
    <row r="74" spans="1:24" ht="5.0999999999999996" customHeight="1" x14ac:dyDescent="0.25">
      <c r="A74" s="27"/>
      <c r="B74" s="281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85"/>
    </row>
    <row r="75" spans="1:24" ht="17.25" customHeight="1" x14ac:dyDescent="0.25">
      <c r="A75" s="269" t="s">
        <v>51</v>
      </c>
      <c r="B75" s="282"/>
      <c r="C75" s="425">
        <f t="shared" ref="C75:M75" si="19">SUM(C76:C77)</f>
        <v>0</v>
      </c>
      <c r="D75" s="33">
        <f t="shared" si="19"/>
        <v>0</v>
      </c>
      <c r="E75" s="33">
        <f t="shared" si="19"/>
        <v>0</v>
      </c>
      <c r="F75" s="33">
        <f t="shared" si="19"/>
        <v>0</v>
      </c>
      <c r="G75" s="33">
        <f t="shared" si="19"/>
        <v>0</v>
      </c>
      <c r="H75" s="33">
        <f t="shared" si="19"/>
        <v>0</v>
      </c>
      <c r="I75" s="33">
        <f t="shared" si="19"/>
        <v>0</v>
      </c>
      <c r="J75" s="33">
        <f>SUM(J76:J77)</f>
        <v>0</v>
      </c>
      <c r="K75" s="33">
        <f t="shared" si="19"/>
        <v>0</v>
      </c>
      <c r="L75" s="33">
        <f t="shared" si="19"/>
        <v>0</v>
      </c>
      <c r="M75" s="103">
        <f t="shared" si="19"/>
        <v>0</v>
      </c>
    </row>
    <row r="76" spans="1:24" ht="11.25" customHeight="1" x14ac:dyDescent="0.25">
      <c r="A76" s="271" t="s">
        <v>165</v>
      </c>
      <c r="B76" s="282"/>
      <c r="C76" s="211"/>
      <c r="D76" s="212"/>
      <c r="E76" s="212"/>
      <c r="F76" s="212"/>
      <c r="G76" s="212"/>
      <c r="H76" s="212"/>
      <c r="I76" s="212"/>
      <c r="J76" s="29">
        <f>SUM(E76:I76)</f>
        <v>0</v>
      </c>
      <c r="K76" s="29">
        <f>IF(D76=0,C76+J76,D76+J76)</f>
        <v>0</v>
      </c>
      <c r="L76" s="212"/>
      <c r="M76" s="213"/>
    </row>
    <row r="77" spans="1:24" ht="11.25" customHeight="1" x14ac:dyDescent="0.25">
      <c r="A77" s="275" t="s">
        <v>570</v>
      </c>
      <c r="B77" s="282"/>
      <c r="C77" s="211"/>
      <c r="D77" s="212"/>
      <c r="E77" s="212"/>
      <c r="F77" s="212"/>
      <c r="G77" s="212"/>
      <c r="H77" s="212"/>
      <c r="I77" s="212"/>
      <c r="J77" s="29">
        <f>SUM(E77:I77)</f>
        <v>0</v>
      </c>
      <c r="K77" s="29">
        <f>IF(D77=0,C77+J77,D77+J77)</f>
        <v>0</v>
      </c>
      <c r="L77" s="212"/>
      <c r="M77" s="213"/>
    </row>
    <row r="78" spans="1:24" ht="5.0999999999999996" customHeight="1" x14ac:dyDescent="0.25">
      <c r="A78" s="272"/>
      <c r="B78" s="282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85"/>
    </row>
    <row r="79" spans="1:24" ht="12.75" customHeight="1" x14ac:dyDescent="0.25">
      <c r="A79" s="334" t="s">
        <v>904</v>
      </c>
      <c r="B79" s="284">
        <v>1</v>
      </c>
      <c r="C79" s="36">
        <f t="shared" ref="C79:I79" si="20">C8+C29+C45+C49+C53+C75+C67+C71</f>
        <v>83106</v>
      </c>
      <c r="D79" s="35">
        <f t="shared" si="20"/>
        <v>0</v>
      </c>
      <c r="E79" s="35">
        <f t="shared" si="20"/>
        <v>0</v>
      </c>
      <c r="F79" s="35">
        <f t="shared" si="20"/>
        <v>0</v>
      </c>
      <c r="G79" s="35">
        <f t="shared" si="20"/>
        <v>0</v>
      </c>
      <c r="H79" s="35">
        <f t="shared" si="20"/>
        <v>0</v>
      </c>
      <c r="I79" s="35">
        <f t="shared" si="20"/>
        <v>0</v>
      </c>
      <c r="J79" s="35">
        <f>J8+J29+J45+J49+J53+J71+J75+J67</f>
        <v>0</v>
      </c>
      <c r="K79" s="35">
        <f>K8+K29+K45+K49+K53+K71+K75+K67</f>
        <v>83106</v>
      </c>
      <c r="L79" s="35">
        <f>L8+L29+L45+L49+L53+L75+L67+L71</f>
        <v>0</v>
      </c>
      <c r="M79" s="112">
        <f>M8+M29+M45+M49+M53+M75+M67+M71</f>
        <v>0</v>
      </c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2.75" customHeight="1" x14ac:dyDescent="0.25">
      <c r="A80" s="351"/>
      <c r="B80" s="352"/>
      <c r="C80" s="426"/>
      <c r="D80" s="32"/>
      <c r="E80" s="32"/>
      <c r="F80" s="32"/>
      <c r="G80" s="32"/>
      <c r="H80" s="32"/>
      <c r="I80" s="32"/>
      <c r="J80" s="32"/>
      <c r="K80" s="32"/>
      <c r="L80" s="32"/>
      <c r="M80" s="418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3" ht="12.75" customHeight="1" x14ac:dyDescent="0.25">
      <c r="A81" s="277" t="s">
        <v>238</v>
      </c>
      <c r="B81" s="276"/>
      <c r="C81" s="278">
        <f t="shared" ref="C81:I81" si="21">SUM(C82:C85)</f>
        <v>0</v>
      </c>
      <c r="D81" s="279">
        <f t="shared" si="21"/>
        <v>0</v>
      </c>
      <c r="E81" s="279">
        <f t="shared" si="21"/>
        <v>0</v>
      </c>
      <c r="F81" s="279">
        <f t="shared" si="21"/>
        <v>0</v>
      </c>
      <c r="G81" s="279">
        <f t="shared" si="21"/>
        <v>0</v>
      </c>
      <c r="H81" s="279">
        <f t="shared" si="21"/>
        <v>0</v>
      </c>
      <c r="I81" s="279">
        <f t="shared" si="21"/>
        <v>0</v>
      </c>
      <c r="J81" s="279">
        <f>SUM(E81:I81)</f>
        <v>0</v>
      </c>
      <c r="K81" s="279">
        <f>IF(D81=0,C81+J81,D81+J81)</f>
        <v>0</v>
      </c>
      <c r="L81" s="279">
        <f>SUM(L82:L85)</f>
        <v>0</v>
      </c>
      <c r="M81" s="280">
        <f>SUM(M82:M85)</f>
        <v>0</v>
      </c>
    </row>
    <row r="82" spans="1:23" ht="12.75" customHeight="1" x14ac:dyDescent="0.25">
      <c r="A82" s="26" t="s">
        <v>92</v>
      </c>
      <c r="B82" s="281"/>
      <c r="C82" s="211"/>
      <c r="D82" s="212"/>
      <c r="E82" s="212"/>
      <c r="F82" s="212"/>
      <c r="G82" s="212"/>
      <c r="H82" s="212"/>
      <c r="I82" s="212"/>
      <c r="J82" s="33">
        <f>SUM(E82:I82)</f>
        <v>0</v>
      </c>
      <c r="K82" s="33">
        <f>IF(D82=0,C82+J82,D82+J82)</f>
        <v>0</v>
      </c>
      <c r="L82" s="212"/>
      <c r="M82" s="213"/>
    </row>
    <row r="83" spans="1:23" ht="12.75" customHeight="1" x14ac:dyDescent="0.25">
      <c r="A83" s="26" t="s">
        <v>129</v>
      </c>
      <c r="B83" s="281"/>
      <c r="C83" s="211"/>
      <c r="D83" s="212"/>
      <c r="E83" s="212"/>
      <c r="F83" s="212"/>
      <c r="G83" s="212"/>
      <c r="H83" s="212"/>
      <c r="I83" s="212"/>
      <c r="J83" s="33">
        <f>SUM(E83:I83)</f>
        <v>0</v>
      </c>
      <c r="K83" s="33">
        <f>IF(D83=0,C83+J83,D83+J83)</f>
        <v>0</v>
      </c>
      <c r="L83" s="212"/>
      <c r="M83" s="213"/>
    </row>
    <row r="84" spans="1:23" ht="12.75" customHeight="1" x14ac:dyDescent="0.25">
      <c r="A84" s="26" t="s">
        <v>130</v>
      </c>
      <c r="B84" s="281"/>
      <c r="C84" s="211"/>
      <c r="D84" s="212"/>
      <c r="E84" s="212"/>
      <c r="F84" s="212"/>
      <c r="G84" s="212"/>
      <c r="H84" s="212"/>
      <c r="I84" s="212"/>
      <c r="J84" s="33">
        <f>SUM(E84:I84)</f>
        <v>0</v>
      </c>
      <c r="K84" s="33">
        <f>IF(D84=0,C84+J84,D84+J84)</f>
        <v>0</v>
      </c>
      <c r="L84" s="212"/>
      <c r="M84" s="213"/>
    </row>
    <row r="85" spans="1:23" ht="12.75" customHeight="1" x14ac:dyDescent="0.25">
      <c r="A85" s="80" t="s">
        <v>131</v>
      </c>
      <c r="B85" s="294"/>
      <c r="C85" s="229"/>
      <c r="D85" s="230"/>
      <c r="E85" s="230"/>
      <c r="F85" s="230"/>
      <c r="G85" s="230"/>
      <c r="H85" s="230"/>
      <c r="I85" s="230"/>
      <c r="J85" s="50">
        <f>SUM(E85:I85)</f>
        <v>0</v>
      </c>
      <c r="K85" s="50">
        <f>IF(D85=0,C85+J85,D85+J85)</f>
        <v>0</v>
      </c>
      <c r="L85" s="230"/>
      <c r="M85" s="233"/>
    </row>
    <row r="86" spans="1:23" ht="12.75" customHeight="1" x14ac:dyDescent="0.25">
      <c r="A86" s="41"/>
      <c r="B86" s="38"/>
      <c r="C86" s="32"/>
      <c r="D86" s="32"/>
      <c r="E86" s="32"/>
      <c r="F86" s="32"/>
      <c r="G86" s="32"/>
      <c r="H86" s="32"/>
      <c r="I86" s="32"/>
      <c r="J86" s="32"/>
      <c r="K86" s="3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</row>
    <row r="87" spans="1:23" ht="12.75" customHeight="1" x14ac:dyDescent="0.25">
      <c r="A87" s="37" t="str">
        <f>head27a</f>
        <v>References</v>
      </c>
      <c r="B87" s="38"/>
      <c r="C87" s="42"/>
      <c r="D87" s="42"/>
      <c r="E87" s="42"/>
      <c r="F87" s="42"/>
      <c r="G87" s="42"/>
      <c r="H87" s="42"/>
      <c r="I87" s="42"/>
      <c r="J87" s="42"/>
      <c r="K87" s="42"/>
    </row>
    <row r="88" spans="1:23" ht="12.75" customHeight="1" x14ac:dyDescent="0.25">
      <c r="A88" s="53" t="s">
        <v>571</v>
      </c>
      <c r="B88" s="38"/>
      <c r="C88" s="41"/>
      <c r="D88" s="41"/>
      <c r="E88" s="42"/>
      <c r="F88" s="42"/>
      <c r="G88" s="42"/>
      <c r="H88" s="42"/>
      <c r="I88" s="42"/>
      <c r="J88" s="42"/>
      <c r="K88" s="42"/>
    </row>
    <row r="89" spans="1:23" ht="11.25" customHeight="1" x14ac:dyDescent="0.25">
      <c r="A89" s="46"/>
      <c r="B89" s="38"/>
      <c r="C89" s="41"/>
      <c r="D89" s="41"/>
      <c r="E89" s="42"/>
      <c r="F89" s="42"/>
      <c r="G89" s="42"/>
      <c r="H89" s="42"/>
      <c r="I89" s="42"/>
      <c r="J89" s="42"/>
      <c r="K89" s="42"/>
    </row>
    <row r="90" spans="1:23" ht="11.25" customHeight="1" x14ac:dyDescent="0.25">
      <c r="A90" s="55"/>
      <c r="B90" s="43"/>
      <c r="C90" s="71"/>
      <c r="D90" s="71"/>
      <c r="E90" s="71"/>
      <c r="F90" s="71"/>
      <c r="G90" s="71"/>
      <c r="H90" s="71"/>
      <c r="I90" s="71"/>
      <c r="J90" s="71"/>
      <c r="K90" s="71"/>
    </row>
    <row r="91" spans="1:23" ht="11.25" customHeight="1" x14ac:dyDescent="0.25"/>
    <row r="92" spans="1:23" ht="11.25" customHeight="1" x14ac:dyDescent="0.25"/>
    <row r="93" spans="1:23" ht="11.25" customHeight="1" x14ac:dyDescent="0.25"/>
    <row r="94" spans="1:23" ht="11.25" customHeight="1" x14ac:dyDescent="0.25"/>
    <row r="95" spans="1:23" ht="11.25" customHeight="1" x14ac:dyDescent="0.25"/>
    <row r="96" spans="1:23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</sheetData>
  <sheetProtection sheet="1" objects="1" scenarios="1"/>
  <mergeCells count="3">
    <mergeCell ref="C2:K2"/>
    <mergeCell ref="A2:A3"/>
    <mergeCell ref="B2:B3"/>
  </mergeCells>
  <phoneticPr fontId="2" type="noConversion"/>
  <dataValidations count="1">
    <dataValidation type="whole" allowBlank="1" showInputMessage="1" showErrorMessage="1" sqref="C82:I85 K10:M11 C10:I11 C13:I15 K13:M15 C17:I19 K17:M19 C21:I22 K21:M22 C24:I27 M24:M27 C30:I43 K30:M43 C46:I47 K46:M47 C50:I51 M50:M51 C54:I54 M56:M65 C68:I69 K68:M69 C72:I73 M72:M73 C76:I77 L54:M54 K24:L28 K50:L52 K82:M85 K54:K65 C56:I65 C55:H55 L55:L65 K72:L74 K76:M77">
      <formula1>-99999999999</formula1>
      <formula2>999999999999</formula2>
    </dataValidation>
  </dataValidation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6">
    <tabColor rgb="FFC4FCDF"/>
    <pageSetUpPr fitToPage="1"/>
  </sheetPr>
  <dimension ref="A1:N118"/>
  <sheetViews>
    <sheetView showGridLines="0" workbookViewId="0">
      <pane xSplit="2" ySplit="4" topLeftCell="F32" activePane="bottomRight" state="frozen"/>
      <selection activeCell="F27" sqref="F27"/>
      <selection pane="topRight" activeCell="F27" sqref="F27"/>
      <selection pane="bottomLeft" activeCell="F27" sqref="F27"/>
      <selection pane="bottomRight"/>
    </sheetView>
  </sheetViews>
  <sheetFormatPr defaultRowHeight="12.75" x14ac:dyDescent="0.25"/>
  <cols>
    <col min="1" max="1" width="25.7109375" style="20" customWidth="1"/>
    <col min="2" max="2" width="3.140625" style="47" customWidth="1"/>
    <col min="3" max="3" width="25.7109375" style="20" customWidth="1"/>
    <col min="4" max="4" width="6.140625" style="20" bestFit="1" customWidth="1"/>
    <col min="5" max="5" width="4.42578125" style="20" customWidth="1"/>
    <col min="6" max="7" width="20.7109375" style="20" customWidth="1"/>
    <col min="8" max="8" width="7.85546875" style="20" bestFit="1" customWidth="1"/>
    <col min="9" max="12" width="8.7109375" style="20" customWidth="1"/>
    <col min="13" max="13" width="15.7109375" style="20" customWidth="1"/>
    <col min="14" max="14" width="7.42578125" style="20" bestFit="1" customWidth="1"/>
    <col min="15" max="15" width="9.85546875" style="20" customWidth="1"/>
    <col min="16" max="16" width="9.5703125" style="20" customWidth="1"/>
    <col min="17" max="17" width="9.85546875" style="20" customWidth="1"/>
    <col min="18" max="20" width="9.5703125" style="20" customWidth="1"/>
    <col min="21" max="21" width="9.85546875" style="20" customWidth="1"/>
    <col min="22" max="24" width="9.5703125" style="20" customWidth="1"/>
    <col min="25" max="26" width="9.85546875" style="20" customWidth="1"/>
    <col min="27" max="16384" width="9.140625" style="20"/>
  </cols>
  <sheetData>
    <row r="1" spans="1:14" ht="13.5" x14ac:dyDescent="0.25">
      <c r="A1" s="89" t="str">
        <f>MEAB11&amp;" - "&amp;Date</f>
        <v>Greater Tzaneen Development Agency - Supporting Table SE7   List of capital programmes and projects affected by Adjustments Budget - 29/02/2016</v>
      </c>
    </row>
    <row r="2" spans="1:14" ht="25.5" x14ac:dyDescent="0.25">
      <c r="A2" s="453" t="s">
        <v>198</v>
      </c>
      <c r="B2" s="459" t="str">
        <f>head27</f>
        <v>Ref</v>
      </c>
      <c r="C2" s="466" t="s">
        <v>384</v>
      </c>
      <c r="D2" s="467" t="s">
        <v>161</v>
      </c>
      <c r="E2" s="467" t="s">
        <v>909</v>
      </c>
      <c r="F2" s="470" t="s">
        <v>175</v>
      </c>
      <c r="G2" s="461" t="s">
        <v>282</v>
      </c>
      <c r="H2" s="459" t="s">
        <v>385</v>
      </c>
      <c r="I2" s="109" t="str">
        <f>Head3</f>
        <v>2015/16 Medium Term Revenue &amp; Expenditure Framework</v>
      </c>
      <c r="J2" s="107"/>
      <c r="K2" s="107"/>
      <c r="L2" s="108"/>
      <c r="M2" s="109" t="s">
        <v>163</v>
      </c>
      <c r="N2" s="108"/>
    </row>
    <row r="3" spans="1:14" ht="12.75" customHeight="1" x14ac:dyDescent="0.25">
      <c r="A3" s="465"/>
      <c r="B3" s="460"/>
      <c r="C3" s="466"/>
      <c r="D3" s="468"/>
      <c r="E3" s="468"/>
      <c r="F3" s="454"/>
      <c r="G3" s="462"/>
      <c r="H3" s="460"/>
      <c r="I3" s="472" t="str">
        <f>Head9</f>
        <v>Budget Year 2015/16</v>
      </c>
      <c r="J3" s="473" t="str">
        <f>Head7</f>
        <v>Adjusted Budget</v>
      </c>
      <c r="K3" s="473" t="str">
        <f>Head10</f>
        <v>Budget Year +1 2016/17</v>
      </c>
      <c r="L3" s="474" t="str">
        <f>Head11</f>
        <v>Budget Year +2 2017/18</v>
      </c>
      <c r="M3" s="472" t="s">
        <v>164</v>
      </c>
      <c r="N3" s="475" t="s">
        <v>162</v>
      </c>
    </row>
    <row r="4" spans="1:14" ht="13.5" customHeight="1" x14ac:dyDescent="0.25">
      <c r="A4" s="157" t="s">
        <v>193</v>
      </c>
      <c r="B4" s="158"/>
      <c r="C4" s="450"/>
      <c r="D4" s="469"/>
      <c r="E4" s="471"/>
      <c r="F4" s="455"/>
      <c r="G4" s="463"/>
      <c r="H4" s="464"/>
      <c r="I4" s="450"/>
      <c r="J4" s="469"/>
      <c r="K4" s="469"/>
      <c r="L4" s="452"/>
      <c r="M4" s="450"/>
      <c r="N4" s="463"/>
    </row>
    <row r="5" spans="1:14" ht="12.75" customHeight="1" x14ac:dyDescent="0.25">
      <c r="A5" s="167"/>
      <c r="B5" s="94"/>
      <c r="C5" s="183"/>
      <c r="D5" s="184"/>
      <c r="E5" s="184"/>
      <c r="F5" s="185"/>
      <c r="G5" s="168"/>
      <c r="H5" s="93"/>
      <c r="I5" s="25"/>
      <c r="J5" s="24"/>
      <c r="K5" s="24"/>
      <c r="L5" s="106"/>
      <c r="M5" s="25"/>
      <c r="N5" s="106"/>
    </row>
    <row r="6" spans="1:14" ht="12.75" customHeight="1" x14ac:dyDescent="0.25">
      <c r="A6" s="239" t="s">
        <v>908</v>
      </c>
      <c r="B6" s="255">
        <v>3</v>
      </c>
      <c r="C6" s="240"/>
      <c r="D6" s="241"/>
      <c r="E6" s="241"/>
      <c r="F6" s="242"/>
      <c r="G6" s="243"/>
      <c r="H6" s="244"/>
      <c r="I6" s="240"/>
      <c r="J6" s="245"/>
      <c r="K6" s="245"/>
      <c r="L6" s="246"/>
      <c r="M6" s="240"/>
      <c r="N6" s="246"/>
    </row>
    <row r="7" spans="1:14" ht="12.75" customHeight="1" x14ac:dyDescent="0.25">
      <c r="A7" s="247"/>
      <c r="B7" s="255"/>
      <c r="C7" s="240"/>
      <c r="D7" s="241"/>
      <c r="E7" s="241"/>
      <c r="F7" s="242"/>
      <c r="G7" s="243"/>
      <c r="H7" s="248"/>
      <c r="I7" s="249"/>
      <c r="J7" s="250"/>
      <c r="K7" s="250"/>
      <c r="L7" s="251"/>
      <c r="M7" s="249"/>
      <c r="N7" s="251"/>
    </row>
    <row r="8" spans="1:14" ht="12.75" customHeight="1" x14ac:dyDescent="0.25">
      <c r="A8" s="217"/>
      <c r="B8" s="255"/>
      <c r="C8" s="249"/>
      <c r="D8" s="252"/>
      <c r="E8" s="252"/>
      <c r="F8" s="250"/>
      <c r="G8" s="251"/>
      <c r="H8" s="248"/>
      <c r="I8" s="249"/>
      <c r="J8" s="250"/>
      <c r="K8" s="250"/>
      <c r="L8" s="251"/>
      <c r="M8" s="249"/>
      <c r="N8" s="251"/>
    </row>
    <row r="9" spans="1:14" ht="12.75" customHeight="1" x14ac:dyDescent="0.25">
      <c r="A9" s="217"/>
      <c r="B9" s="255"/>
      <c r="C9" s="249"/>
      <c r="D9" s="252"/>
      <c r="E9" s="252"/>
      <c r="F9" s="250"/>
      <c r="G9" s="251"/>
      <c r="H9" s="248"/>
      <c r="I9" s="249"/>
      <c r="J9" s="250"/>
      <c r="K9" s="250"/>
      <c r="L9" s="251"/>
      <c r="M9" s="249"/>
      <c r="N9" s="251"/>
    </row>
    <row r="10" spans="1:14" ht="12.75" customHeight="1" x14ac:dyDescent="0.25">
      <c r="A10" s="217"/>
      <c r="B10" s="255"/>
      <c r="C10" s="249"/>
      <c r="D10" s="252"/>
      <c r="E10" s="252"/>
      <c r="F10" s="250"/>
      <c r="G10" s="251"/>
      <c r="H10" s="248"/>
      <c r="I10" s="249"/>
      <c r="J10" s="250"/>
      <c r="K10" s="250"/>
      <c r="L10" s="251"/>
      <c r="M10" s="249"/>
      <c r="N10" s="251"/>
    </row>
    <row r="11" spans="1:14" ht="12.75" customHeight="1" x14ac:dyDescent="0.25">
      <c r="A11" s="253"/>
      <c r="B11" s="255"/>
      <c r="C11" s="249"/>
      <c r="D11" s="252"/>
      <c r="E11" s="252"/>
      <c r="F11" s="250"/>
      <c r="G11" s="251"/>
      <c r="H11" s="248"/>
      <c r="I11" s="249"/>
      <c r="J11" s="250"/>
      <c r="K11" s="250"/>
      <c r="L11" s="251"/>
      <c r="M11" s="249"/>
      <c r="N11" s="251"/>
    </row>
    <row r="12" spans="1:14" ht="12.75" customHeight="1" x14ac:dyDescent="0.25">
      <c r="A12" s="217"/>
      <c r="B12" s="255"/>
      <c r="C12" s="249"/>
      <c r="D12" s="252"/>
      <c r="E12" s="252"/>
      <c r="F12" s="250"/>
      <c r="G12" s="251"/>
      <c r="H12" s="248"/>
      <c r="I12" s="249"/>
      <c r="J12" s="250"/>
      <c r="K12" s="250"/>
      <c r="L12" s="251"/>
      <c r="M12" s="249"/>
      <c r="N12" s="251"/>
    </row>
    <row r="13" spans="1:14" ht="12.75" customHeight="1" x14ac:dyDescent="0.25">
      <c r="A13" s="217"/>
      <c r="B13" s="255"/>
      <c r="C13" s="249"/>
      <c r="D13" s="252"/>
      <c r="E13" s="252"/>
      <c r="F13" s="250"/>
      <c r="G13" s="251"/>
      <c r="H13" s="248"/>
      <c r="I13" s="249"/>
      <c r="J13" s="250"/>
      <c r="K13" s="250"/>
      <c r="L13" s="251"/>
      <c r="M13" s="249"/>
      <c r="N13" s="251"/>
    </row>
    <row r="14" spans="1:14" ht="12.75" customHeight="1" x14ac:dyDescent="0.25">
      <c r="A14" s="217"/>
      <c r="B14" s="255"/>
      <c r="C14" s="249"/>
      <c r="D14" s="252"/>
      <c r="E14" s="252"/>
      <c r="F14" s="250"/>
      <c r="G14" s="251"/>
      <c r="H14" s="248"/>
      <c r="I14" s="249"/>
      <c r="J14" s="250"/>
      <c r="K14" s="250"/>
      <c r="L14" s="251"/>
      <c r="M14" s="249"/>
      <c r="N14" s="251"/>
    </row>
    <row r="15" spans="1:14" ht="12.75" customHeight="1" x14ac:dyDescent="0.25">
      <c r="A15" s="217"/>
      <c r="B15" s="255"/>
      <c r="C15" s="249"/>
      <c r="D15" s="252"/>
      <c r="E15" s="252"/>
      <c r="F15" s="250"/>
      <c r="G15" s="251"/>
      <c r="H15" s="248"/>
      <c r="I15" s="249"/>
      <c r="J15" s="250"/>
      <c r="K15" s="250"/>
      <c r="L15" s="251"/>
      <c r="M15" s="249"/>
      <c r="N15" s="251"/>
    </row>
    <row r="16" spans="1:14" ht="12.75" customHeight="1" x14ac:dyDescent="0.25">
      <c r="A16" s="253"/>
      <c r="B16" s="255"/>
      <c r="C16" s="249"/>
      <c r="D16" s="252"/>
      <c r="E16" s="252"/>
      <c r="F16" s="250"/>
      <c r="G16" s="251"/>
      <c r="H16" s="248"/>
      <c r="I16" s="249"/>
      <c r="J16" s="250"/>
      <c r="K16" s="250"/>
      <c r="L16" s="251"/>
      <c r="M16" s="249"/>
      <c r="N16" s="251"/>
    </row>
    <row r="17" spans="1:14" ht="12.75" customHeight="1" x14ac:dyDescent="0.25">
      <c r="A17" s="217"/>
      <c r="B17" s="255"/>
      <c r="C17" s="249"/>
      <c r="D17" s="252"/>
      <c r="E17" s="252"/>
      <c r="F17" s="250"/>
      <c r="G17" s="251"/>
      <c r="H17" s="248"/>
      <c r="I17" s="249"/>
      <c r="J17" s="250"/>
      <c r="K17" s="250"/>
      <c r="L17" s="251"/>
      <c r="M17" s="249"/>
      <c r="N17" s="251"/>
    </row>
    <row r="18" spans="1:14" ht="12.75" customHeight="1" x14ac:dyDescent="0.25">
      <c r="A18" s="217"/>
      <c r="B18" s="255"/>
      <c r="C18" s="249"/>
      <c r="D18" s="252"/>
      <c r="E18" s="252"/>
      <c r="F18" s="250"/>
      <c r="G18" s="251"/>
      <c r="H18" s="248"/>
      <c r="I18" s="249"/>
      <c r="J18" s="250"/>
      <c r="K18" s="250"/>
      <c r="L18" s="251"/>
      <c r="M18" s="249"/>
      <c r="N18" s="251"/>
    </row>
    <row r="19" spans="1:14" ht="12.75" customHeight="1" x14ac:dyDescent="0.25">
      <c r="A19" s="253"/>
      <c r="B19" s="255"/>
      <c r="C19" s="249"/>
      <c r="D19" s="252"/>
      <c r="E19" s="252"/>
      <c r="F19" s="250"/>
      <c r="G19" s="251"/>
      <c r="H19" s="248"/>
      <c r="I19" s="249"/>
      <c r="J19" s="250"/>
      <c r="K19" s="250"/>
      <c r="L19" s="251"/>
      <c r="M19" s="249"/>
      <c r="N19" s="251"/>
    </row>
    <row r="20" spans="1:14" ht="12.75" customHeight="1" x14ac:dyDescent="0.25">
      <c r="A20" s="217"/>
      <c r="B20" s="255"/>
      <c r="C20" s="249"/>
      <c r="D20" s="252"/>
      <c r="E20" s="252"/>
      <c r="F20" s="250"/>
      <c r="G20" s="251"/>
      <c r="H20" s="248"/>
      <c r="I20" s="249"/>
      <c r="J20" s="250"/>
      <c r="K20" s="250"/>
      <c r="L20" s="251"/>
      <c r="M20" s="249"/>
      <c r="N20" s="251"/>
    </row>
    <row r="21" spans="1:14" ht="12.75" customHeight="1" x14ac:dyDescent="0.25">
      <c r="A21" s="217"/>
      <c r="B21" s="255"/>
      <c r="C21" s="249"/>
      <c r="D21" s="252"/>
      <c r="E21" s="252"/>
      <c r="F21" s="250"/>
      <c r="G21" s="251"/>
      <c r="H21" s="248"/>
      <c r="I21" s="249"/>
      <c r="J21" s="250"/>
      <c r="K21" s="250"/>
      <c r="L21" s="251"/>
      <c r="M21" s="249"/>
      <c r="N21" s="251"/>
    </row>
    <row r="22" spans="1:14" ht="12.75" customHeight="1" x14ac:dyDescent="0.25">
      <c r="A22" s="217"/>
      <c r="B22" s="255"/>
      <c r="C22" s="249"/>
      <c r="D22" s="250"/>
      <c r="E22" s="250"/>
      <c r="F22" s="250"/>
      <c r="G22" s="251"/>
      <c r="H22" s="248"/>
      <c r="I22" s="249"/>
      <c r="J22" s="250"/>
      <c r="K22" s="250"/>
      <c r="L22" s="251"/>
      <c r="M22" s="249"/>
      <c r="N22" s="251"/>
    </row>
    <row r="23" spans="1:14" ht="12.75" customHeight="1" x14ac:dyDescent="0.25">
      <c r="A23" s="34" t="s">
        <v>100</v>
      </c>
      <c r="B23" s="113">
        <v>1</v>
      </c>
      <c r="C23" s="339">
        <f>SUM(C7:C22)</f>
        <v>0</v>
      </c>
      <c r="D23" s="340"/>
      <c r="E23" s="340"/>
      <c r="F23" s="340"/>
      <c r="G23" s="341"/>
      <c r="H23" s="353">
        <f>SUM(H6:H22)</f>
        <v>0</v>
      </c>
      <c r="I23" s="36">
        <f>SUM(I6:I22)</f>
        <v>0</v>
      </c>
      <c r="J23" s="35">
        <f>SUM(J6:J22)</f>
        <v>0</v>
      </c>
      <c r="K23" s="35">
        <f>SUM(K6:K22)</f>
        <v>0</v>
      </c>
      <c r="L23" s="112">
        <f>SUM(L6:L22)</f>
        <v>0</v>
      </c>
      <c r="M23" s="339">
        <f>SUM(M7:M22)</f>
        <v>0</v>
      </c>
      <c r="N23" s="341">
        <f>SUM(N7:N22)</f>
        <v>0</v>
      </c>
    </row>
    <row r="24" spans="1:14" ht="12.75" customHeight="1" x14ac:dyDescent="0.25">
      <c r="A24" s="37" t="str">
        <f>head27a</f>
        <v>References</v>
      </c>
      <c r="B24" s="20"/>
      <c r="C24" s="46"/>
    </row>
    <row r="25" spans="1:14" ht="12.75" customHeight="1" x14ac:dyDescent="0.25">
      <c r="A25" s="53" t="s">
        <v>905</v>
      </c>
      <c r="B25" s="20"/>
    </row>
    <row r="26" spans="1:14" ht="12.75" customHeight="1" x14ac:dyDescent="0.25">
      <c r="A26" s="53" t="s">
        <v>906</v>
      </c>
      <c r="B26" s="20"/>
    </row>
    <row r="27" spans="1:14" ht="12.75" customHeight="1" x14ac:dyDescent="0.25">
      <c r="A27" s="53" t="s">
        <v>907</v>
      </c>
      <c r="B27" s="20"/>
    </row>
    <row r="28" spans="1:14" ht="11.25" customHeight="1" x14ac:dyDescent="0.25">
      <c r="B28" s="20"/>
    </row>
    <row r="29" spans="1:14" x14ac:dyDescent="0.25">
      <c r="B29" s="20"/>
    </row>
    <row r="30" spans="1:14" ht="11.25" customHeight="1" x14ac:dyDescent="0.25">
      <c r="B30" s="20"/>
    </row>
    <row r="31" spans="1:14" ht="11.25" customHeight="1" x14ac:dyDescent="0.25">
      <c r="B31" s="20"/>
    </row>
    <row r="32" spans="1:14" ht="11.25" customHeight="1" x14ac:dyDescent="0.25">
      <c r="B32" s="20"/>
    </row>
    <row r="33" spans="2:2" ht="11.25" customHeight="1" x14ac:dyDescent="0.25">
      <c r="B33" s="20"/>
    </row>
    <row r="34" spans="2:2" ht="11.25" customHeight="1" x14ac:dyDescent="0.25">
      <c r="B34" s="20"/>
    </row>
    <row r="35" spans="2:2" ht="11.25" customHeight="1" x14ac:dyDescent="0.25">
      <c r="B35" s="20"/>
    </row>
    <row r="36" spans="2:2" ht="11.25" customHeight="1" x14ac:dyDescent="0.25">
      <c r="B36" s="20"/>
    </row>
    <row r="37" spans="2:2" ht="11.25" customHeight="1" x14ac:dyDescent="0.25">
      <c r="B37" s="20"/>
    </row>
    <row r="38" spans="2:2" ht="11.25" customHeight="1" x14ac:dyDescent="0.25">
      <c r="B38" s="20"/>
    </row>
    <row r="39" spans="2:2" ht="11.25" customHeight="1" x14ac:dyDescent="0.25">
      <c r="B39" s="20"/>
    </row>
    <row r="40" spans="2:2" ht="11.25" customHeight="1" x14ac:dyDescent="0.25">
      <c r="B40" s="20"/>
    </row>
    <row r="41" spans="2:2" ht="11.25" customHeight="1" x14ac:dyDescent="0.25">
      <c r="B41" s="20"/>
    </row>
    <row r="42" spans="2:2" ht="11.25" customHeight="1" x14ac:dyDescent="0.25">
      <c r="B42" s="20"/>
    </row>
    <row r="43" spans="2:2" ht="11.25" customHeight="1" x14ac:dyDescent="0.25">
      <c r="B43" s="20"/>
    </row>
    <row r="44" spans="2:2" ht="11.25" customHeight="1" x14ac:dyDescent="0.25">
      <c r="B44" s="20"/>
    </row>
    <row r="45" spans="2:2" ht="11.25" customHeight="1" x14ac:dyDescent="0.25">
      <c r="B45" s="20"/>
    </row>
    <row r="46" spans="2:2" ht="11.25" customHeight="1" x14ac:dyDescent="0.25">
      <c r="B46" s="20"/>
    </row>
    <row r="47" spans="2:2" ht="11.25" customHeight="1" x14ac:dyDescent="0.25">
      <c r="B47" s="20"/>
    </row>
    <row r="48" spans="2:2" ht="11.25" customHeight="1" x14ac:dyDescent="0.25">
      <c r="B48" s="20"/>
    </row>
    <row r="49" spans="2:2" ht="11.25" customHeight="1" x14ac:dyDescent="0.25">
      <c r="B49" s="20"/>
    </row>
    <row r="50" spans="2:2" ht="11.25" customHeight="1" x14ac:dyDescent="0.25">
      <c r="B50" s="20"/>
    </row>
    <row r="51" spans="2:2" ht="11.25" customHeight="1" x14ac:dyDescent="0.25">
      <c r="B51" s="20"/>
    </row>
    <row r="52" spans="2:2" ht="11.25" customHeight="1" x14ac:dyDescent="0.25">
      <c r="B52" s="20"/>
    </row>
    <row r="53" spans="2:2" x14ac:dyDescent="0.25">
      <c r="B53" s="20"/>
    </row>
    <row r="54" spans="2:2" x14ac:dyDescent="0.25">
      <c r="B54" s="20"/>
    </row>
    <row r="55" spans="2:2" ht="11.25" customHeight="1" x14ac:dyDescent="0.25">
      <c r="B55" s="20"/>
    </row>
    <row r="56" spans="2:2" ht="22.5" customHeight="1" x14ac:dyDescent="0.25">
      <c r="B56" s="20"/>
    </row>
    <row r="57" spans="2:2" x14ac:dyDescent="0.25">
      <c r="B57" s="20"/>
    </row>
    <row r="58" spans="2:2" x14ac:dyDescent="0.25">
      <c r="B58" s="20"/>
    </row>
    <row r="59" spans="2:2" ht="11.25" customHeight="1" x14ac:dyDescent="0.25">
      <c r="B59" s="20"/>
    </row>
    <row r="60" spans="2:2" ht="11.25" customHeight="1" x14ac:dyDescent="0.25">
      <c r="B60" s="20"/>
    </row>
    <row r="61" spans="2:2" ht="11.25" customHeight="1" x14ac:dyDescent="0.25">
      <c r="B61" s="20"/>
    </row>
    <row r="62" spans="2:2" ht="11.25" customHeight="1" x14ac:dyDescent="0.25">
      <c r="B62" s="20"/>
    </row>
    <row r="63" spans="2:2" ht="11.25" customHeight="1" x14ac:dyDescent="0.25">
      <c r="B63" s="20"/>
    </row>
    <row r="64" spans="2:2" ht="11.25" customHeight="1" x14ac:dyDescent="0.25">
      <c r="B64" s="20"/>
    </row>
    <row r="65" spans="2:2" ht="11.25" customHeight="1" x14ac:dyDescent="0.25">
      <c r="B65" s="20"/>
    </row>
    <row r="66" spans="2:2" ht="11.25" customHeight="1" x14ac:dyDescent="0.25">
      <c r="B66" s="20"/>
    </row>
    <row r="67" spans="2:2" ht="11.25" customHeight="1" x14ac:dyDescent="0.25">
      <c r="B67" s="20"/>
    </row>
    <row r="68" spans="2:2" ht="11.25" customHeight="1" x14ac:dyDescent="0.25">
      <c r="B68" s="20"/>
    </row>
    <row r="69" spans="2:2" ht="11.25" customHeight="1" x14ac:dyDescent="0.25">
      <c r="B69" s="20"/>
    </row>
    <row r="70" spans="2:2" ht="11.25" customHeight="1" x14ac:dyDescent="0.25">
      <c r="B70" s="20"/>
    </row>
    <row r="71" spans="2:2" ht="11.25" customHeight="1" x14ac:dyDescent="0.25">
      <c r="B71" s="20"/>
    </row>
    <row r="72" spans="2:2" ht="11.25" customHeight="1" x14ac:dyDescent="0.25">
      <c r="B72" s="20"/>
    </row>
    <row r="73" spans="2:2" ht="11.25" customHeight="1" x14ac:dyDescent="0.25">
      <c r="B73" s="20"/>
    </row>
    <row r="74" spans="2:2" ht="11.25" customHeight="1" x14ac:dyDescent="0.25">
      <c r="B74" s="20"/>
    </row>
    <row r="75" spans="2:2" ht="11.25" customHeight="1" x14ac:dyDescent="0.25">
      <c r="B75" s="20"/>
    </row>
    <row r="76" spans="2:2" ht="11.25" customHeight="1" x14ac:dyDescent="0.25">
      <c r="B76" s="20"/>
    </row>
    <row r="77" spans="2:2" ht="11.25" customHeight="1" x14ac:dyDescent="0.25">
      <c r="B77" s="20"/>
    </row>
    <row r="78" spans="2:2" ht="11.25" customHeight="1" x14ac:dyDescent="0.25">
      <c r="B78" s="20"/>
    </row>
    <row r="79" spans="2:2" ht="11.25" customHeight="1" x14ac:dyDescent="0.25">
      <c r="B79" s="20"/>
    </row>
    <row r="80" spans="2:2" ht="11.25" customHeight="1" x14ac:dyDescent="0.25">
      <c r="B80" s="20"/>
    </row>
    <row r="81" spans="2:2" ht="11.25" customHeight="1" x14ac:dyDescent="0.25">
      <c r="B81" s="20"/>
    </row>
    <row r="82" spans="2:2" ht="11.25" customHeight="1" x14ac:dyDescent="0.25">
      <c r="B82" s="20"/>
    </row>
    <row r="83" spans="2:2" ht="11.25" customHeight="1" x14ac:dyDescent="0.25">
      <c r="B83" s="20"/>
    </row>
    <row r="84" spans="2:2" ht="11.25" customHeight="1" x14ac:dyDescent="0.25">
      <c r="B84" s="20"/>
    </row>
    <row r="85" spans="2:2" ht="11.25" customHeight="1" x14ac:dyDescent="0.25">
      <c r="B85" s="20"/>
    </row>
    <row r="86" spans="2:2" ht="11.25" customHeight="1" x14ac:dyDescent="0.25">
      <c r="B86" s="20"/>
    </row>
    <row r="87" spans="2:2" ht="11.25" customHeight="1" x14ac:dyDescent="0.25">
      <c r="B87" s="20"/>
    </row>
    <row r="88" spans="2:2" ht="11.25" customHeight="1" x14ac:dyDescent="0.25">
      <c r="B88" s="20"/>
    </row>
    <row r="89" spans="2:2" ht="11.25" customHeight="1" x14ac:dyDescent="0.25">
      <c r="B89" s="20"/>
    </row>
    <row r="90" spans="2:2" ht="11.25" customHeight="1" x14ac:dyDescent="0.25">
      <c r="B90" s="20"/>
    </row>
    <row r="91" spans="2:2" ht="11.25" customHeight="1" x14ac:dyDescent="0.25">
      <c r="B91" s="20"/>
    </row>
    <row r="92" spans="2:2" ht="11.25" customHeight="1" x14ac:dyDescent="0.25">
      <c r="B92" s="20"/>
    </row>
    <row r="93" spans="2:2" ht="11.25" customHeight="1" x14ac:dyDescent="0.25">
      <c r="B93" s="20"/>
    </row>
    <row r="94" spans="2:2" ht="11.25" customHeight="1" x14ac:dyDescent="0.25">
      <c r="B94" s="20"/>
    </row>
    <row r="95" spans="2:2" ht="11.25" customHeight="1" x14ac:dyDescent="0.25">
      <c r="B95" s="20"/>
    </row>
    <row r="96" spans="2:2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0"/>
    </row>
    <row r="100" spans="2:2" x14ac:dyDescent="0.25">
      <c r="B100" s="20"/>
    </row>
    <row r="101" spans="2:2" x14ac:dyDescent="0.25">
      <c r="B101" s="20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0"/>
    </row>
    <row r="112" spans="2:2" x14ac:dyDescent="0.25">
      <c r="B112" s="20"/>
    </row>
    <row r="113" spans="2:2" x14ac:dyDescent="0.25">
      <c r="B113" s="20"/>
    </row>
    <row r="114" spans="2:2" x14ac:dyDescent="0.25">
      <c r="B114" s="20"/>
    </row>
    <row r="115" spans="2:2" x14ac:dyDescent="0.25">
      <c r="B115" s="20"/>
    </row>
    <row r="116" spans="2:2" x14ac:dyDescent="0.25">
      <c r="B116" s="20"/>
    </row>
    <row r="117" spans="2:2" x14ac:dyDescent="0.25">
      <c r="B117" s="20"/>
    </row>
    <row r="118" spans="2:2" x14ac:dyDescent="0.25">
      <c r="B118" s="20"/>
    </row>
  </sheetData>
  <sheetProtection sheet="1" objects="1" scenarios="1"/>
  <mergeCells count="14">
    <mergeCell ref="N3:N4"/>
    <mergeCell ref="I3:I4"/>
    <mergeCell ref="J3:J4"/>
    <mergeCell ref="K3:K4"/>
    <mergeCell ref="L3:L4"/>
    <mergeCell ref="M3:M4"/>
    <mergeCell ref="G2:G4"/>
    <mergeCell ref="H2:H4"/>
    <mergeCell ref="A2:A3"/>
    <mergeCell ref="C2:C4"/>
    <mergeCell ref="D2:D4"/>
    <mergeCell ref="F2:F4"/>
    <mergeCell ref="B2:B3"/>
    <mergeCell ref="E2:E4"/>
  </mergeCells>
  <phoneticPr fontId="2" type="noConversion"/>
  <printOptions horizontalCentered="1"/>
  <pageMargins left="0.36" right="0.2" top="0.8" bottom="0.59" header="0.51181102362204722" footer="0.4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>
    <tabColor indexed="46"/>
  </sheetPr>
  <dimension ref="D2:Y38"/>
  <sheetViews>
    <sheetView showGridLines="0" tabSelected="1" workbookViewId="0">
      <selection activeCell="O10" sqref="O10"/>
    </sheetView>
  </sheetViews>
  <sheetFormatPr defaultRowHeight="12.75" x14ac:dyDescent="0.2"/>
  <cols>
    <col min="23" max="23" width="19.7109375" style="288" customWidth="1"/>
    <col min="24" max="25" width="9.140625" style="288"/>
  </cols>
  <sheetData>
    <row r="2" spans="4:24" x14ac:dyDescent="0.2">
      <c r="D2">
        <v>2020</v>
      </c>
    </row>
    <row r="4" spans="4:24" x14ac:dyDescent="0.2">
      <c r="X4" s="303" t="s">
        <v>574</v>
      </c>
    </row>
    <row r="5" spans="4:24" x14ac:dyDescent="0.2">
      <c r="X5" s="303" t="s">
        <v>575</v>
      </c>
    </row>
    <row r="6" spans="4:24" x14ac:dyDescent="0.2">
      <c r="X6" s="303"/>
    </row>
    <row r="7" spans="4:24" x14ac:dyDescent="0.2">
      <c r="W7" s="306" t="s">
        <v>576</v>
      </c>
      <c r="X7" s="303" t="s">
        <v>577</v>
      </c>
    </row>
    <row r="8" spans="4:24" x14ac:dyDescent="0.2">
      <c r="X8" s="303" t="s">
        <v>578</v>
      </c>
    </row>
    <row r="9" spans="4:24" x14ac:dyDescent="0.2">
      <c r="X9" s="303"/>
    </row>
    <row r="10" spans="4:24" x14ac:dyDescent="0.2">
      <c r="W10" s="306" t="s">
        <v>579</v>
      </c>
      <c r="X10" s="304" t="s">
        <v>937</v>
      </c>
    </row>
    <row r="11" spans="4:24" x14ac:dyDescent="0.2">
      <c r="X11" s="303"/>
    </row>
    <row r="12" spans="4:24" x14ac:dyDescent="0.2">
      <c r="X12" s="303"/>
    </row>
    <row r="13" spans="4:24" x14ac:dyDescent="0.2">
      <c r="X13" s="303"/>
    </row>
    <row r="14" spans="4:24" x14ac:dyDescent="0.2">
      <c r="X14" s="303"/>
    </row>
    <row r="15" spans="4:24" x14ac:dyDescent="0.2">
      <c r="X15" s="303"/>
    </row>
    <row r="16" spans="4:24" x14ac:dyDescent="0.2">
      <c r="X16" s="303"/>
    </row>
    <row r="17" spans="23:24" x14ac:dyDescent="0.2">
      <c r="X17" s="303"/>
    </row>
    <row r="18" spans="23:24" x14ac:dyDescent="0.2">
      <c r="X18" s="303"/>
    </row>
    <row r="19" spans="23:24" x14ac:dyDescent="0.2">
      <c r="W19" s="306" t="s">
        <v>580</v>
      </c>
      <c r="X19" s="303">
        <v>2008</v>
      </c>
    </row>
    <row r="20" spans="23:24" x14ac:dyDescent="0.2">
      <c r="X20" s="303">
        <v>2009</v>
      </c>
    </row>
    <row r="21" spans="23:24" x14ac:dyDescent="0.2">
      <c r="X21" s="303">
        <v>2010</v>
      </c>
    </row>
    <row r="22" spans="23:24" x14ac:dyDescent="0.2">
      <c r="X22" s="303">
        <v>2011</v>
      </c>
    </row>
    <row r="23" spans="23:24" x14ac:dyDescent="0.2">
      <c r="X23" s="303">
        <v>2012</v>
      </c>
    </row>
    <row r="24" spans="23:24" x14ac:dyDescent="0.2">
      <c r="X24" s="303">
        <v>2013</v>
      </c>
    </row>
    <row r="25" spans="23:24" x14ac:dyDescent="0.2">
      <c r="X25" s="303">
        <v>2014</v>
      </c>
    </row>
    <row r="26" spans="23:24" x14ac:dyDescent="0.2">
      <c r="X26" s="303">
        <v>2015</v>
      </c>
    </row>
    <row r="27" spans="23:24" x14ac:dyDescent="0.2">
      <c r="X27" s="303">
        <v>2016</v>
      </c>
    </row>
    <row r="28" spans="23:24" x14ac:dyDescent="0.2">
      <c r="X28" s="303">
        <v>2017</v>
      </c>
    </row>
    <row r="29" spans="23:24" x14ac:dyDescent="0.2">
      <c r="X29" s="303">
        <v>2018</v>
      </c>
    </row>
    <row r="30" spans="23:24" x14ac:dyDescent="0.2">
      <c r="X30" s="303">
        <v>2019</v>
      </c>
    </row>
    <row r="31" spans="23:24" x14ac:dyDescent="0.2">
      <c r="X31" s="303">
        <v>2020</v>
      </c>
    </row>
    <row r="32" spans="23:24" x14ac:dyDescent="0.2">
      <c r="X32" s="303">
        <v>2021</v>
      </c>
    </row>
    <row r="33" spans="23:24" x14ac:dyDescent="0.2">
      <c r="X33" s="303">
        <v>2022</v>
      </c>
    </row>
    <row r="34" spans="23:24" x14ac:dyDescent="0.2">
      <c r="X34" s="303"/>
    </row>
    <row r="35" spans="23:24" x14ac:dyDescent="0.2">
      <c r="W35" s="306" t="s">
        <v>581</v>
      </c>
      <c r="X35" s="303">
        <v>8</v>
      </c>
    </row>
    <row r="36" spans="23:24" x14ac:dyDescent="0.2">
      <c r="W36" s="306" t="s">
        <v>582</v>
      </c>
      <c r="X36" s="305">
        <f>INDEX(X19:X33,X35,1)</f>
        <v>2015</v>
      </c>
    </row>
    <row r="38" spans="23:24" x14ac:dyDescent="0.2">
      <c r="W38" s="306" t="s">
        <v>583</v>
      </c>
      <c r="X38" s="307" t="str">
        <f>MTREF&amp;"/"&amp;RIGHT(MTREF,2)+1</f>
        <v>2015/16</v>
      </c>
    </row>
  </sheetData>
  <sheetProtection sheet="1" objects="1" scenarios="1"/>
  <phoneticPr fontId="2" type="noConversion"/>
  <pageMargins left="0.75" right="0.75" top="1" bottom="1" header="0.5" footer="0.5"/>
  <pageSetup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13" r:id="rId4" name="TextBox1">
          <controlPr defaultSize="0" autoLine="0" linkedCell="entity" r:id="rId5">
            <anchor moveWithCells="1">
              <from>
                <xdr:col>5</xdr:col>
                <xdr:colOff>200025</xdr:colOff>
                <xdr:row>7</xdr:row>
                <xdr:rowOff>114300</xdr:rowOff>
              </from>
              <to>
                <xdr:col>11</xdr:col>
                <xdr:colOff>228600</xdr:colOff>
                <xdr:row>9</xdr:row>
                <xdr:rowOff>57150</xdr:rowOff>
              </to>
            </anchor>
          </controlPr>
        </control>
      </mc:Choice>
      <mc:Fallback>
        <control shapeId="4113" r:id="rId4" name="TextBox1"/>
      </mc:Fallback>
    </mc:AlternateContent>
    <mc:AlternateContent xmlns:mc="http://schemas.openxmlformats.org/markup-compatibility/2006">
      <mc:Choice Requires="x14">
        <control shapeId="4118" r:id="rId6" name="TextBox3">
          <controlPr defaultSize="0" autoLine="0" r:id="rId7">
            <anchor moveWithCells="1">
              <from>
                <xdr:col>5</xdr:col>
                <xdr:colOff>200025</xdr:colOff>
                <xdr:row>10</xdr:row>
                <xdr:rowOff>95250</xdr:rowOff>
              </from>
              <to>
                <xdr:col>11</xdr:col>
                <xdr:colOff>228600</xdr:colOff>
                <xdr:row>12</xdr:row>
                <xdr:rowOff>28575</xdr:rowOff>
              </to>
            </anchor>
          </controlPr>
        </control>
      </mc:Choice>
      <mc:Fallback>
        <control shapeId="4118" r:id="rId6" name="TextBox3"/>
      </mc:Fallback>
    </mc:AlternateContent>
    <mc:AlternateContent xmlns:mc="http://schemas.openxmlformats.org/markup-compatibility/2006">
      <mc:Choice Requires="x14">
        <control shapeId="4119" r:id="rId8" name="TextBox4">
          <controlPr defaultSize="0" autoLine="0" r:id="rId9">
            <anchor moveWithCells="1">
              <from>
                <xdr:col>5</xdr:col>
                <xdr:colOff>200025</xdr:colOff>
                <xdr:row>13</xdr:row>
                <xdr:rowOff>9525</xdr:rowOff>
              </from>
              <to>
                <xdr:col>7</xdr:col>
                <xdr:colOff>533400</xdr:colOff>
                <xdr:row>14</xdr:row>
                <xdr:rowOff>104775</xdr:rowOff>
              </to>
            </anchor>
          </controlPr>
        </control>
      </mc:Choice>
      <mc:Fallback>
        <control shapeId="4119" r:id="rId8" name="TextBox4"/>
      </mc:Fallback>
    </mc:AlternateContent>
    <mc:AlternateContent xmlns:mc="http://schemas.openxmlformats.org/markup-compatibility/2006">
      <mc:Choice Requires="x14">
        <control shapeId="4120" r:id="rId10" name="TextBox5">
          <controlPr defaultSize="0" autoLine="0" r:id="rId11">
            <anchor moveWithCells="1">
              <from>
                <xdr:col>5</xdr:col>
                <xdr:colOff>190500</xdr:colOff>
                <xdr:row>15</xdr:row>
                <xdr:rowOff>76200</xdr:rowOff>
              </from>
              <to>
                <xdr:col>11</xdr:col>
                <xdr:colOff>228600</xdr:colOff>
                <xdr:row>17</xdr:row>
                <xdr:rowOff>9525</xdr:rowOff>
              </to>
            </anchor>
          </controlPr>
        </control>
      </mc:Choice>
      <mc:Fallback>
        <control shapeId="4120" r:id="rId10" name="TextBox5"/>
      </mc:Fallback>
    </mc:AlternateContent>
    <mc:AlternateContent xmlns:mc="http://schemas.openxmlformats.org/markup-compatibility/2006">
      <mc:Choice Requires="x14">
        <control shapeId="4121" r:id="rId12" name="TextBox6">
          <controlPr defaultSize="0" autoLine="0" r:id="rId13">
            <anchor moveWithCells="1">
              <from>
                <xdr:col>9</xdr:col>
                <xdr:colOff>57150</xdr:colOff>
                <xdr:row>13</xdr:row>
                <xdr:rowOff>28575</xdr:rowOff>
              </from>
              <to>
                <xdr:col>11</xdr:col>
                <xdr:colOff>228600</xdr:colOff>
                <xdr:row>14</xdr:row>
                <xdr:rowOff>123825</xdr:rowOff>
              </to>
            </anchor>
          </controlPr>
        </control>
      </mc:Choice>
      <mc:Fallback>
        <control shapeId="4121" r:id="rId12" name="TextBox6"/>
      </mc:Fallback>
    </mc:AlternateContent>
    <mc:AlternateContent xmlns:mc="http://schemas.openxmlformats.org/markup-compatibility/2006">
      <mc:Choice Requires="x14">
        <control shapeId="4122" r:id="rId14" name="ToggleReferenceColumns">
          <controlPr defaultSize="0" autoLine="0" r:id="rId15">
            <anchor moveWithCells="1">
              <from>
                <xdr:col>0</xdr:col>
                <xdr:colOff>542925</xdr:colOff>
                <xdr:row>31</xdr:row>
                <xdr:rowOff>114300</xdr:rowOff>
              </from>
              <to>
                <xdr:col>4</xdr:col>
                <xdr:colOff>523875</xdr:colOff>
                <xdr:row>33</xdr:row>
                <xdr:rowOff>104775</xdr:rowOff>
              </to>
            </anchor>
          </controlPr>
        </control>
      </mc:Choice>
      <mc:Fallback>
        <control shapeId="4122" r:id="rId14" name="ToggleReferenceColumns"/>
      </mc:Fallback>
    </mc:AlternateContent>
    <mc:AlternateContent xmlns:mc="http://schemas.openxmlformats.org/markup-compatibility/2006">
      <mc:Choice Requires="x14">
        <control shapeId="4123" r:id="rId16" name="TogglePreAuditColums">
          <controlPr defaultSize="0" autoLine="0" r:id="rId17">
            <anchor moveWithCells="1">
              <from>
                <xdr:col>0</xdr:col>
                <xdr:colOff>523875</xdr:colOff>
                <xdr:row>34</xdr:row>
                <xdr:rowOff>76200</xdr:rowOff>
              </from>
              <to>
                <xdr:col>4</xdr:col>
                <xdr:colOff>504825</xdr:colOff>
                <xdr:row>36</xdr:row>
                <xdr:rowOff>76200</xdr:rowOff>
              </to>
            </anchor>
          </controlPr>
        </control>
      </mc:Choice>
      <mc:Fallback>
        <control shapeId="4123" r:id="rId16" name="TogglePreAuditColums"/>
      </mc:Fallback>
    </mc:AlternateContent>
    <mc:AlternateContent xmlns:mc="http://schemas.openxmlformats.org/markup-compatibility/2006">
      <mc:Choice Requires="x14">
        <control shapeId="4124" r:id="rId18" name="ToggleHiddenColumns">
          <controlPr defaultSize="0" autoLine="0" r:id="rId19">
            <anchor moveWithCells="1">
              <from>
                <xdr:col>0</xdr:col>
                <xdr:colOff>523875</xdr:colOff>
                <xdr:row>39</xdr:row>
                <xdr:rowOff>66675</xdr:rowOff>
              </from>
              <to>
                <xdr:col>4</xdr:col>
                <xdr:colOff>504825</xdr:colOff>
                <xdr:row>41</xdr:row>
                <xdr:rowOff>57150</xdr:rowOff>
              </to>
            </anchor>
          </controlPr>
        </control>
      </mc:Choice>
      <mc:Fallback>
        <control shapeId="4124" r:id="rId18" name="ToggleHiddenColumns"/>
      </mc:Fallback>
    </mc:AlternateContent>
    <mc:AlternateContent xmlns:mc="http://schemas.openxmlformats.org/markup-compatibility/2006">
      <mc:Choice Requires="x14">
        <control shapeId="4126" r:id="rId20" name="DateOfAdjustment">
          <controlPr defaultSize="0" autoLine="0" linkedCell="Date" r:id="rId21">
            <anchor moveWithCells="1">
              <from>
                <xdr:col>5</xdr:col>
                <xdr:colOff>190500</xdr:colOff>
                <xdr:row>18</xdr:row>
                <xdr:rowOff>19050</xdr:rowOff>
              </from>
              <to>
                <xdr:col>7</xdr:col>
                <xdr:colOff>381000</xdr:colOff>
                <xdr:row>19</xdr:row>
                <xdr:rowOff>114300</xdr:rowOff>
              </to>
            </anchor>
          </controlPr>
        </control>
      </mc:Choice>
      <mc:Fallback>
        <control shapeId="4126" r:id="rId20" name="DateOfAdjustment"/>
      </mc:Fallback>
    </mc:AlternateContent>
    <mc:AlternateContent xmlns:mc="http://schemas.openxmlformats.org/markup-compatibility/2006">
      <mc:Choice Requires="x14">
        <control shapeId="4132" r:id="rId22" name="ToggleButton1">
          <controlPr defaultSize="0" autoLine="0" r:id="rId23">
            <anchor moveWithCells="1">
              <from>
                <xdr:col>6</xdr:col>
                <xdr:colOff>581025</xdr:colOff>
                <xdr:row>31</xdr:row>
                <xdr:rowOff>114300</xdr:rowOff>
              </from>
              <to>
                <xdr:col>10</xdr:col>
                <xdr:colOff>561975</xdr:colOff>
                <xdr:row>33</xdr:row>
                <xdr:rowOff>104775</xdr:rowOff>
              </to>
            </anchor>
          </controlPr>
        </control>
      </mc:Choice>
      <mc:Fallback>
        <control shapeId="4132" r:id="rId22" name="ToggleButton1"/>
      </mc:Fallback>
    </mc:AlternateContent>
    <mc:AlternateContent xmlns:mc="http://schemas.openxmlformats.org/markup-compatibility/2006">
      <mc:Choice Requires="x14">
        <control shapeId="4116" r:id="rId24" name="Drop Down 20">
          <controlPr defaultSize="0" autoLine="0" autoPict="0">
            <anchor moveWithCells="1">
              <from>
                <xdr:col>5</xdr:col>
                <xdr:colOff>200025</xdr:colOff>
                <xdr:row>20</xdr:row>
                <xdr:rowOff>104775</xdr:rowOff>
              </from>
              <to>
                <xdr:col>7</xdr:col>
                <xdr:colOff>219075</xdr:colOff>
                <xdr:row>22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34" r:id="rId25" name="Drop Down 38">
          <controlPr defaultSize="0" autoLine="0" autoPict="0">
            <anchor moveWithCells="1">
              <from>
                <xdr:col>5</xdr:col>
                <xdr:colOff>209550</xdr:colOff>
                <xdr:row>5</xdr:row>
                <xdr:rowOff>9525</xdr:rowOff>
              </from>
              <to>
                <xdr:col>11</xdr:col>
                <xdr:colOff>219075</xdr:colOff>
                <xdr:row>6</xdr:row>
                <xdr:rowOff>95250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>
    <tabColor rgb="FF92D050"/>
    <pageSetUpPr fitToPage="1"/>
  </sheetPr>
  <dimension ref="A1:E98"/>
  <sheetViews>
    <sheetView topLeftCell="C1" workbookViewId="0">
      <pane ySplit="1" topLeftCell="A2" activePane="bottomLeft" state="frozen"/>
      <selection activeCell="E66" sqref="E65:E66"/>
      <selection pane="bottomLeft" activeCell="E60" sqref="E60"/>
    </sheetView>
  </sheetViews>
  <sheetFormatPr defaultRowHeight="11.25" x14ac:dyDescent="0.2"/>
  <cols>
    <col min="1" max="1" width="10.7109375" style="7" customWidth="1"/>
    <col min="2" max="2" width="56.42578125" style="1" bestFit="1" customWidth="1"/>
    <col min="3" max="3" width="28.85546875" style="1" bestFit="1" customWidth="1"/>
    <col min="4" max="4" width="17.5703125" style="1" customWidth="1"/>
    <col min="5" max="16384" width="9.140625" style="1"/>
  </cols>
  <sheetData>
    <row r="1" spans="1:4" x14ac:dyDescent="0.2">
      <c r="A1" s="428" t="s">
        <v>166</v>
      </c>
      <c r="B1" s="429"/>
      <c r="C1" s="429"/>
      <c r="D1" s="430"/>
    </row>
    <row r="2" spans="1:4" x14ac:dyDescent="0.2">
      <c r="A2" s="11" t="s">
        <v>367</v>
      </c>
      <c r="B2" s="315" t="str">
        <f>HLOOKUP(MTREF,Headings,2)</f>
        <v>2014/15</v>
      </c>
      <c r="C2" s="316" t="s">
        <v>504</v>
      </c>
      <c r="D2" s="317"/>
    </row>
    <row r="3" spans="1:4" x14ac:dyDescent="0.2">
      <c r="A3" s="2" t="s">
        <v>106</v>
      </c>
      <c r="B3" s="318" t="str">
        <f>HLOOKUP(MTREF,Headings,3)</f>
        <v>2013/14</v>
      </c>
      <c r="C3" s="319" t="s">
        <v>505</v>
      </c>
      <c r="D3" s="320"/>
    </row>
    <row r="4" spans="1:4" x14ac:dyDescent="0.2">
      <c r="A4" s="2" t="s">
        <v>182</v>
      </c>
      <c r="B4" s="318" t="str">
        <f>HLOOKUP(MTREF,Headings,4)</f>
        <v>2012/13</v>
      </c>
      <c r="C4" s="319" t="s">
        <v>506</v>
      </c>
      <c r="D4" s="320"/>
    </row>
    <row r="5" spans="1:4" x14ac:dyDescent="0.2">
      <c r="A5" s="2" t="s">
        <v>388</v>
      </c>
      <c r="B5" s="319">
        <f>HLOOKUP(MTREF,Headings,5)</f>
        <v>0</v>
      </c>
      <c r="C5" s="319" t="s">
        <v>507</v>
      </c>
      <c r="D5" s="320"/>
    </row>
    <row r="6" spans="1:4" x14ac:dyDescent="0.2">
      <c r="A6" s="2" t="s">
        <v>202</v>
      </c>
      <c r="B6" s="318">
        <f>HLOOKUP(MTREF,Headings,6)</f>
        <v>0</v>
      </c>
      <c r="C6" s="319" t="s">
        <v>507</v>
      </c>
      <c r="D6" s="320"/>
    </row>
    <row r="7" spans="1:4" x14ac:dyDescent="0.2">
      <c r="A7" s="2" t="s">
        <v>389</v>
      </c>
      <c r="B7" s="319" t="str">
        <f>HLOOKUP(MTREF,Headings,7)</f>
        <v>2015/16 Medium Term Revenue &amp; Expenditure Framework</v>
      </c>
      <c r="C7" s="319" t="s">
        <v>508</v>
      </c>
      <c r="D7" s="320"/>
    </row>
    <row r="8" spans="1:4" x14ac:dyDescent="0.2">
      <c r="A8" s="2" t="s">
        <v>429</v>
      </c>
      <c r="B8" s="4" t="s">
        <v>319</v>
      </c>
      <c r="C8" s="4"/>
      <c r="D8" s="9"/>
    </row>
    <row r="9" spans="1:4" x14ac:dyDescent="0.2">
      <c r="A9" s="2" t="s">
        <v>390</v>
      </c>
      <c r="B9" s="4" t="s">
        <v>134</v>
      </c>
      <c r="C9" s="4"/>
      <c r="D9" s="9"/>
    </row>
    <row r="10" spans="1:4" x14ac:dyDescent="0.2">
      <c r="A10" s="2" t="s">
        <v>391</v>
      </c>
      <c r="B10" s="4" t="s">
        <v>73</v>
      </c>
      <c r="C10" s="4"/>
      <c r="D10" s="9"/>
    </row>
    <row r="11" spans="1:4" x14ac:dyDescent="0.2">
      <c r="A11" s="2" t="s">
        <v>87</v>
      </c>
      <c r="B11" s="4" t="s">
        <v>88</v>
      </c>
      <c r="C11" s="4"/>
      <c r="D11" s="9"/>
    </row>
    <row r="12" spans="1:4" x14ac:dyDescent="0.2">
      <c r="A12" s="2" t="s">
        <v>421</v>
      </c>
      <c r="B12" s="4" t="s">
        <v>422</v>
      </c>
      <c r="C12" s="4"/>
      <c r="D12" s="9"/>
    </row>
    <row r="13" spans="1:4" x14ac:dyDescent="0.2">
      <c r="A13" s="2" t="s">
        <v>392</v>
      </c>
      <c r="B13" s="4" t="s">
        <v>138</v>
      </c>
      <c r="C13" s="4"/>
      <c r="D13" s="9"/>
    </row>
    <row r="14" spans="1:4" x14ac:dyDescent="0.2">
      <c r="A14" s="2" t="s">
        <v>393</v>
      </c>
      <c r="B14" s="4" t="s">
        <v>320</v>
      </c>
      <c r="C14" s="4"/>
      <c r="D14" s="9"/>
    </row>
    <row r="15" spans="1:4" x14ac:dyDescent="0.2">
      <c r="A15" s="2" t="s">
        <v>394</v>
      </c>
      <c r="B15" s="4" t="s">
        <v>321</v>
      </c>
      <c r="C15" s="4"/>
      <c r="D15" s="9"/>
    </row>
    <row r="16" spans="1:4" x14ac:dyDescent="0.2">
      <c r="A16" s="2" t="s">
        <v>395</v>
      </c>
      <c r="B16" s="319" t="str">
        <f>HLOOKUP(MTREF,Headings,8)</f>
        <v>Budget Year 2015/16</v>
      </c>
      <c r="C16" s="319" t="s">
        <v>509</v>
      </c>
      <c r="D16" s="14" t="s">
        <v>212</v>
      </c>
    </row>
    <row r="17" spans="1:4" x14ac:dyDescent="0.2">
      <c r="A17" s="2" t="s">
        <v>396</v>
      </c>
      <c r="B17" s="319" t="str">
        <f>HLOOKUP(MTREF,Headings,9)</f>
        <v>Budget Year +1 2016/17</v>
      </c>
      <c r="C17" s="319" t="s">
        <v>510</v>
      </c>
      <c r="D17" s="14" t="s">
        <v>213</v>
      </c>
    </row>
    <row r="18" spans="1:4" x14ac:dyDescent="0.2">
      <c r="A18" s="2" t="s">
        <v>398</v>
      </c>
      <c r="B18" s="319" t="str">
        <f>HLOOKUP(MTREF,Headings,10)</f>
        <v>Budget Year +2 2017/18</v>
      </c>
      <c r="C18" s="319" t="s">
        <v>511</v>
      </c>
      <c r="D18" s="14" t="s">
        <v>214</v>
      </c>
    </row>
    <row r="19" spans="1:4" x14ac:dyDescent="0.2">
      <c r="A19" s="2" t="s">
        <v>399</v>
      </c>
      <c r="B19" s="319">
        <f>HLOOKUP(MTREF,Headings,11)</f>
        <v>0</v>
      </c>
      <c r="C19" s="319" t="s">
        <v>512</v>
      </c>
      <c r="D19" s="14" t="s">
        <v>215</v>
      </c>
    </row>
    <row r="20" spans="1:4" x14ac:dyDescent="0.2">
      <c r="A20" s="2" t="s">
        <v>400</v>
      </c>
      <c r="B20" s="319">
        <f>HLOOKUP(MTREF,Headings,12)</f>
        <v>0</v>
      </c>
      <c r="C20" s="319" t="s">
        <v>513</v>
      </c>
      <c r="D20" s="14" t="s">
        <v>216</v>
      </c>
    </row>
    <row r="21" spans="1:4" x14ac:dyDescent="0.2">
      <c r="A21" s="2" t="s">
        <v>401</v>
      </c>
      <c r="B21" s="319">
        <f>HLOOKUP(MTREF,Headings,13)</f>
        <v>0</v>
      </c>
      <c r="C21" s="319" t="s">
        <v>513</v>
      </c>
      <c r="D21" s="14" t="s">
        <v>217</v>
      </c>
    </row>
    <row r="22" spans="1:4" x14ac:dyDescent="0.2">
      <c r="A22" s="2" t="s">
        <v>402</v>
      </c>
      <c r="B22" s="319">
        <f>HLOOKUP(MTREF,Headings,14)</f>
        <v>0</v>
      </c>
      <c r="C22" s="319" t="s">
        <v>513</v>
      </c>
      <c r="D22" s="14" t="s">
        <v>218</v>
      </c>
    </row>
    <row r="23" spans="1:4" x14ac:dyDescent="0.2">
      <c r="A23" s="2" t="s">
        <v>403</v>
      </c>
      <c r="B23" s="319">
        <f>HLOOKUP(MTREF,Headings,15)</f>
        <v>0</v>
      </c>
      <c r="C23" s="319" t="s">
        <v>513</v>
      </c>
      <c r="D23" s="14" t="s">
        <v>219</v>
      </c>
    </row>
    <row r="24" spans="1:4" x14ac:dyDescent="0.2">
      <c r="A24" s="2" t="s">
        <v>404</v>
      </c>
      <c r="B24" s="319">
        <f>HLOOKUP(MTREF,Headings,16)</f>
        <v>0</v>
      </c>
      <c r="C24" s="319" t="s">
        <v>513</v>
      </c>
      <c r="D24" s="14" t="s">
        <v>220</v>
      </c>
    </row>
    <row r="25" spans="1:4" x14ac:dyDescent="0.2">
      <c r="A25" s="2" t="s">
        <v>405</v>
      </c>
      <c r="B25" s="319">
        <f>HLOOKUP(MTREF,Headings,17)</f>
        <v>0</v>
      </c>
      <c r="C25" s="319" t="s">
        <v>513</v>
      </c>
      <c r="D25" s="14" t="s">
        <v>146</v>
      </c>
    </row>
    <row r="26" spans="1:4" x14ac:dyDescent="0.2">
      <c r="A26" s="2" t="s">
        <v>406</v>
      </c>
      <c r="B26" s="319">
        <f>HLOOKUP(MTREF,Headings,18)</f>
        <v>0</v>
      </c>
      <c r="C26" s="319" t="s">
        <v>513</v>
      </c>
      <c r="D26" s="14" t="s">
        <v>39</v>
      </c>
    </row>
    <row r="27" spans="1:4" x14ac:dyDescent="0.2">
      <c r="A27" s="2" t="s">
        <v>407</v>
      </c>
      <c r="B27" s="319">
        <f>HLOOKUP(MTREF,Headings,19)</f>
        <v>0</v>
      </c>
      <c r="C27" s="319" t="s">
        <v>513</v>
      </c>
      <c r="D27" s="14" t="s">
        <v>40</v>
      </c>
    </row>
    <row r="28" spans="1:4" x14ac:dyDescent="0.2">
      <c r="A28" s="2" t="s">
        <v>408</v>
      </c>
      <c r="B28" s="319">
        <f>HLOOKUP(MTREF,Headings,20)</f>
        <v>0</v>
      </c>
      <c r="C28" s="319" t="s">
        <v>513</v>
      </c>
      <c r="D28" s="14" t="s">
        <v>41</v>
      </c>
    </row>
    <row r="29" spans="1:4" x14ac:dyDescent="0.2">
      <c r="A29" s="2" t="s">
        <v>409</v>
      </c>
      <c r="B29" s="319">
        <f>HLOOKUP(MTREF,Headings,21)</f>
        <v>0</v>
      </c>
      <c r="C29" s="319" t="s">
        <v>513</v>
      </c>
      <c r="D29" s="14" t="s">
        <v>42</v>
      </c>
    </row>
    <row r="30" spans="1:4" x14ac:dyDescent="0.2">
      <c r="A30" s="2" t="s">
        <v>410</v>
      </c>
      <c r="B30" s="319">
        <f>HLOOKUP(MTREF,Headings,22)</f>
        <v>0</v>
      </c>
      <c r="C30" s="319" t="s">
        <v>513</v>
      </c>
      <c r="D30" s="14" t="s">
        <v>43</v>
      </c>
    </row>
    <row r="31" spans="1:4" x14ac:dyDescent="0.2">
      <c r="A31" s="2" t="s">
        <v>148</v>
      </c>
      <c r="B31" s="4" t="s">
        <v>199</v>
      </c>
      <c r="C31" s="4"/>
      <c r="D31" s="14" t="s">
        <v>149</v>
      </c>
    </row>
    <row r="32" spans="1:4" x14ac:dyDescent="0.2">
      <c r="A32" s="2" t="s">
        <v>85</v>
      </c>
      <c r="B32" s="4" t="s">
        <v>1</v>
      </c>
      <c r="C32" s="4"/>
      <c r="D32" s="14" t="s">
        <v>86</v>
      </c>
    </row>
    <row r="33" spans="1:4" x14ac:dyDescent="0.2">
      <c r="A33" s="2" t="s">
        <v>183</v>
      </c>
      <c r="B33" s="4" t="s">
        <v>184</v>
      </c>
      <c r="C33" s="4"/>
      <c r="D33" s="14" t="s">
        <v>185</v>
      </c>
    </row>
    <row r="34" spans="1:4" x14ac:dyDescent="0.2">
      <c r="A34" s="2" t="s">
        <v>186</v>
      </c>
      <c r="B34" s="4" t="s">
        <v>102</v>
      </c>
      <c r="C34" s="4"/>
      <c r="D34" s="14"/>
    </row>
    <row r="35" spans="1:4" x14ac:dyDescent="0.2">
      <c r="A35" s="2" t="s">
        <v>169</v>
      </c>
      <c r="B35" s="4" t="s">
        <v>170</v>
      </c>
      <c r="C35" s="4"/>
      <c r="D35" s="14"/>
    </row>
    <row r="36" spans="1:4" x14ac:dyDescent="0.2">
      <c r="A36" s="2" t="s">
        <v>98</v>
      </c>
      <c r="B36" s="4" t="s">
        <v>358</v>
      </c>
      <c r="C36" s="4"/>
      <c r="D36" s="14" t="s">
        <v>99</v>
      </c>
    </row>
    <row r="37" spans="1:4" x14ac:dyDescent="0.2">
      <c r="A37" s="2" t="s">
        <v>261</v>
      </c>
      <c r="B37" s="4" t="s">
        <v>267</v>
      </c>
      <c r="C37" s="4"/>
      <c r="D37" s="14"/>
    </row>
    <row r="38" spans="1:4" x14ac:dyDescent="0.2">
      <c r="A38" s="2" t="s">
        <v>262</v>
      </c>
      <c r="B38" s="4" t="s">
        <v>268</v>
      </c>
      <c r="C38" s="4"/>
      <c r="D38" s="14"/>
    </row>
    <row r="39" spans="1:4" x14ac:dyDescent="0.2">
      <c r="A39" s="2" t="s">
        <v>263</v>
      </c>
      <c r="B39" s="4" t="s">
        <v>76</v>
      </c>
      <c r="C39" s="4"/>
      <c r="D39" s="14"/>
    </row>
    <row r="40" spans="1:4" x14ac:dyDescent="0.2">
      <c r="A40" s="2" t="s">
        <v>264</v>
      </c>
      <c r="B40" s="4" t="s">
        <v>140</v>
      </c>
      <c r="C40" s="4"/>
      <c r="D40" s="14"/>
    </row>
    <row r="41" spans="1:4" x14ac:dyDescent="0.2">
      <c r="A41" s="2" t="s">
        <v>265</v>
      </c>
      <c r="B41" s="4" t="s">
        <v>141</v>
      </c>
      <c r="C41" s="4"/>
      <c r="D41" s="14"/>
    </row>
    <row r="42" spans="1:4" x14ac:dyDescent="0.2">
      <c r="A42" s="2" t="s">
        <v>266</v>
      </c>
      <c r="B42" s="4" t="s">
        <v>74</v>
      </c>
      <c r="C42" s="4"/>
      <c r="D42" s="14"/>
    </row>
    <row r="43" spans="1:4" x14ac:dyDescent="0.2">
      <c r="A43" s="2" t="s">
        <v>75</v>
      </c>
      <c r="B43" s="4" t="s">
        <v>118</v>
      </c>
      <c r="C43" s="4"/>
      <c r="D43" s="14"/>
    </row>
    <row r="44" spans="1:4" x14ac:dyDescent="0.2">
      <c r="A44" s="2" t="s">
        <v>248</v>
      </c>
      <c r="B44" s="4" t="s">
        <v>200</v>
      </c>
      <c r="C44" s="4"/>
      <c r="D44" s="14"/>
    </row>
    <row r="45" spans="1:4" x14ac:dyDescent="0.2">
      <c r="A45" s="2" t="s">
        <v>249</v>
      </c>
      <c r="B45" s="4" t="s">
        <v>201</v>
      </c>
      <c r="C45" s="4"/>
      <c r="D45" s="14"/>
    </row>
    <row r="46" spans="1:4" x14ac:dyDescent="0.2">
      <c r="A46" s="2" t="s">
        <v>250</v>
      </c>
      <c r="B46" s="4" t="s">
        <v>254</v>
      </c>
      <c r="C46" s="4"/>
      <c r="D46" s="14"/>
    </row>
    <row r="47" spans="1:4" x14ac:dyDescent="0.2">
      <c r="A47" s="2" t="s">
        <v>253</v>
      </c>
      <c r="B47" s="4" t="s">
        <v>236</v>
      </c>
      <c r="C47" s="4"/>
      <c r="D47" s="14"/>
    </row>
    <row r="48" spans="1:4" x14ac:dyDescent="0.2">
      <c r="A48" s="2" t="s">
        <v>62</v>
      </c>
      <c r="B48" s="8" t="s">
        <v>237</v>
      </c>
      <c r="C48" s="4"/>
      <c r="D48" s="14"/>
    </row>
    <row r="49" spans="1:4" x14ac:dyDescent="0.2">
      <c r="A49" s="2" t="s">
        <v>63</v>
      </c>
      <c r="B49" s="8" t="s">
        <v>278</v>
      </c>
      <c r="C49" s="4"/>
      <c r="D49" s="14"/>
    </row>
    <row r="50" spans="1:4" x14ac:dyDescent="0.2">
      <c r="A50" s="2" t="s">
        <v>64</v>
      </c>
      <c r="B50" s="8" t="s">
        <v>36</v>
      </c>
      <c r="C50" s="4"/>
      <c r="D50" s="14"/>
    </row>
    <row r="51" spans="1:4" x14ac:dyDescent="0.2">
      <c r="A51" s="2" t="s">
        <v>277</v>
      </c>
      <c r="B51" s="8" t="str">
        <f>Head3&amp;" Summary"</f>
        <v>2015/16 Medium Term Revenue &amp; Expenditure Framework Summary</v>
      </c>
      <c r="C51" s="4"/>
      <c r="D51" s="14"/>
    </row>
    <row r="52" spans="1:4" x14ac:dyDescent="0.2">
      <c r="A52" s="2" t="s">
        <v>142</v>
      </c>
      <c r="B52" s="8" t="s">
        <v>145</v>
      </c>
      <c r="C52" s="4"/>
      <c r="D52" s="14"/>
    </row>
    <row r="53" spans="1:4" x14ac:dyDescent="0.2">
      <c r="A53" s="2" t="s">
        <v>143</v>
      </c>
      <c r="B53" s="8" t="s">
        <v>144</v>
      </c>
      <c r="C53" s="4"/>
      <c r="D53" s="14"/>
    </row>
    <row r="54" spans="1:4" x14ac:dyDescent="0.2">
      <c r="A54" s="2" t="s">
        <v>383</v>
      </c>
      <c r="B54" s="16" t="s">
        <v>26</v>
      </c>
      <c r="C54" s="17"/>
      <c r="D54" s="14"/>
    </row>
    <row r="55" spans="1:4" x14ac:dyDescent="0.2">
      <c r="A55" s="2" t="s">
        <v>168</v>
      </c>
      <c r="B55" s="8" t="s">
        <v>151</v>
      </c>
      <c r="C55" s="4"/>
      <c r="D55" s="14"/>
    </row>
    <row r="56" spans="1:4" x14ac:dyDescent="0.2">
      <c r="A56" s="2" t="s">
        <v>104</v>
      </c>
      <c r="B56" s="8" t="s">
        <v>3</v>
      </c>
      <c r="C56" s="4"/>
      <c r="D56" s="14"/>
    </row>
    <row r="57" spans="1:4" x14ac:dyDescent="0.2">
      <c r="A57" s="2" t="s">
        <v>155</v>
      </c>
      <c r="B57" s="8" t="s">
        <v>157</v>
      </c>
      <c r="C57" s="4"/>
      <c r="D57" s="14"/>
    </row>
    <row r="58" spans="1:4" x14ac:dyDescent="0.2">
      <c r="A58" s="2" t="s">
        <v>156</v>
      </c>
      <c r="B58" s="8" t="s">
        <v>314</v>
      </c>
      <c r="C58" s="4"/>
      <c r="D58" s="14"/>
    </row>
    <row r="59" spans="1:4" x14ac:dyDescent="0.2">
      <c r="A59" s="2" t="s">
        <v>309</v>
      </c>
      <c r="B59" s="8" t="s">
        <v>313</v>
      </c>
      <c r="C59" s="4"/>
      <c r="D59" s="14"/>
    </row>
    <row r="60" spans="1:4" x14ac:dyDescent="0.2">
      <c r="A60" s="2" t="s">
        <v>310</v>
      </c>
      <c r="B60" s="8" t="s">
        <v>24</v>
      </c>
      <c r="C60" s="4"/>
      <c r="D60" s="14"/>
    </row>
    <row r="61" spans="1:4" x14ac:dyDescent="0.2">
      <c r="A61" s="2" t="s">
        <v>311</v>
      </c>
      <c r="B61" s="8" t="s">
        <v>315</v>
      </c>
      <c r="C61" s="4"/>
      <c r="D61" s="14"/>
    </row>
    <row r="62" spans="1:4" x14ac:dyDescent="0.2">
      <c r="A62" s="2" t="s">
        <v>312</v>
      </c>
      <c r="B62" s="8" t="s">
        <v>417</v>
      </c>
      <c r="C62" s="4"/>
      <c r="D62" s="14"/>
    </row>
    <row r="63" spans="1:4" x14ac:dyDescent="0.2">
      <c r="A63" s="2" t="s">
        <v>188</v>
      </c>
      <c r="B63" s="8" t="s">
        <v>23</v>
      </c>
      <c r="C63" s="4"/>
      <c r="D63" s="14"/>
    </row>
    <row r="64" spans="1:4" x14ac:dyDescent="0.2">
      <c r="A64" s="2" t="s">
        <v>295</v>
      </c>
      <c r="B64" s="8" t="s">
        <v>296</v>
      </c>
      <c r="C64" s="4"/>
      <c r="D64" s="14"/>
    </row>
    <row r="65" spans="1:4" x14ac:dyDescent="0.2">
      <c r="A65" s="2" t="s">
        <v>234</v>
      </c>
      <c r="B65" s="8" t="s">
        <v>235</v>
      </c>
      <c r="C65" s="4"/>
      <c r="D65" s="14"/>
    </row>
    <row r="66" spans="1:4" x14ac:dyDescent="0.2">
      <c r="A66" s="2" t="s">
        <v>423</v>
      </c>
      <c r="B66" s="8" t="s">
        <v>424</v>
      </c>
      <c r="C66" s="4"/>
      <c r="D66" s="14"/>
    </row>
    <row r="67" spans="1:4" x14ac:dyDescent="0.2">
      <c r="A67" s="2" t="s">
        <v>426</v>
      </c>
      <c r="B67" s="8" t="s">
        <v>150</v>
      </c>
      <c r="C67" s="4"/>
      <c r="D67" s="14"/>
    </row>
    <row r="68" spans="1:4" x14ac:dyDescent="0.2">
      <c r="A68" s="2" t="s">
        <v>339</v>
      </c>
      <c r="B68" s="8" t="s">
        <v>337</v>
      </c>
      <c r="C68" s="4"/>
      <c r="D68" s="14"/>
    </row>
    <row r="69" spans="1:4" x14ac:dyDescent="0.2">
      <c r="A69" s="2" t="s">
        <v>340</v>
      </c>
      <c r="B69" s="8" t="s">
        <v>338</v>
      </c>
      <c r="C69" s="4"/>
      <c r="D69" s="14"/>
    </row>
    <row r="70" spans="1:4" x14ac:dyDescent="0.2">
      <c r="A70" s="2" t="s">
        <v>341</v>
      </c>
      <c r="B70" s="8" t="s">
        <v>343</v>
      </c>
      <c r="C70" s="4"/>
      <c r="D70" s="14"/>
    </row>
    <row r="71" spans="1:4" x14ac:dyDescent="0.2">
      <c r="A71" s="2" t="s">
        <v>342</v>
      </c>
      <c r="B71" s="8" t="s">
        <v>178</v>
      </c>
      <c r="C71" s="4"/>
      <c r="D71" s="14"/>
    </row>
    <row r="72" spans="1:4" x14ac:dyDescent="0.2">
      <c r="A72" s="2" t="s">
        <v>179</v>
      </c>
      <c r="B72" s="8" t="s">
        <v>203</v>
      </c>
      <c r="C72" s="4"/>
      <c r="D72" s="14"/>
    </row>
    <row r="73" spans="1:4" x14ac:dyDescent="0.2">
      <c r="A73" s="2" t="s">
        <v>180</v>
      </c>
      <c r="B73" s="8" t="s">
        <v>204</v>
      </c>
      <c r="C73" s="4"/>
      <c r="D73" s="14"/>
    </row>
    <row r="74" spans="1:4" x14ac:dyDescent="0.2">
      <c r="A74" s="2" t="s">
        <v>206</v>
      </c>
      <c r="B74" s="8" t="s">
        <v>205</v>
      </c>
      <c r="C74" s="4"/>
      <c r="D74" s="14"/>
    </row>
    <row r="75" spans="1:4" x14ac:dyDescent="0.2">
      <c r="A75" s="428" t="s">
        <v>256</v>
      </c>
      <c r="B75" s="429"/>
      <c r="C75" s="429"/>
      <c r="D75" s="430"/>
    </row>
    <row r="76" spans="1:4" x14ac:dyDescent="0.2">
      <c r="A76" s="202" t="s">
        <v>181</v>
      </c>
      <c r="B76" s="203" t="s">
        <v>936</v>
      </c>
      <c r="C76" s="203"/>
      <c r="D76" s="204"/>
    </row>
    <row r="77" spans="1:4" x14ac:dyDescent="0.2">
      <c r="A77" s="205" t="s">
        <v>57</v>
      </c>
      <c r="B77" s="206"/>
      <c r="C77" s="206"/>
      <c r="D77" s="207"/>
    </row>
    <row r="78" spans="1:4" x14ac:dyDescent="0.2">
      <c r="A78" s="431" t="s">
        <v>174</v>
      </c>
      <c r="B78" s="432"/>
      <c r="C78" s="18"/>
      <c r="D78" s="18" t="s">
        <v>65</v>
      </c>
    </row>
    <row r="79" spans="1:4" x14ac:dyDescent="0.2">
      <c r="A79" s="12"/>
      <c r="B79" s="6" t="s">
        <v>288</v>
      </c>
      <c r="C79" s="6"/>
      <c r="D79" s="14"/>
    </row>
    <row r="80" spans="1:4" x14ac:dyDescent="0.2">
      <c r="A80" s="12" t="s">
        <v>191</v>
      </c>
      <c r="B80" s="5" t="str">
        <f>B76&amp;" - "&amp;D80&amp;"Adjustments Budget Summary"</f>
        <v>Greater Tzaneen Development Agency - Table E1 Adjustments Budget Summary</v>
      </c>
      <c r="C80" s="5"/>
      <c r="D80" s="14" t="s">
        <v>524</v>
      </c>
    </row>
    <row r="81" spans="1:5" x14ac:dyDescent="0.2">
      <c r="A81" s="12" t="s">
        <v>289</v>
      </c>
      <c r="B81" s="4" t="str">
        <f>B76&amp;" - "&amp;D81&amp;"Adjustments Budget - Financial Performance (revenue and expenditure)"</f>
        <v>Greater Tzaneen Development Agency - Table E2 Adjustments Budget - Financial Performance (revenue and expenditure)</v>
      </c>
      <c r="C81" s="4"/>
      <c r="D81" s="14" t="s">
        <v>525</v>
      </c>
    </row>
    <row r="82" spans="1:5" x14ac:dyDescent="0.2">
      <c r="A82" s="12" t="s">
        <v>290</v>
      </c>
      <c r="B82" s="4" t="str">
        <f>B76&amp;" - "&amp;D82&amp;"Adjustments Capital Expenditure Budget by vote and funding"</f>
        <v>Greater Tzaneen Development Agency - Table E3 Adjustments Capital Expenditure Budget by vote and funding</v>
      </c>
      <c r="C82" s="4"/>
      <c r="D82" s="14" t="s">
        <v>526</v>
      </c>
    </row>
    <row r="83" spans="1:5" x14ac:dyDescent="0.2">
      <c r="A83" s="12" t="s">
        <v>291</v>
      </c>
      <c r="B83" s="4" t="str">
        <f>B76&amp;" - "&amp;D83&amp;"Adjustments Budget - Financial Position"</f>
        <v>Greater Tzaneen Development Agency - Table E4 Adjustments Budget - Financial Position</v>
      </c>
      <c r="C83" s="4"/>
      <c r="D83" s="14" t="s">
        <v>527</v>
      </c>
    </row>
    <row r="84" spans="1:5" x14ac:dyDescent="0.2">
      <c r="A84" s="13" t="s">
        <v>292</v>
      </c>
      <c r="B84" s="10" t="str">
        <f>B76&amp;" - "&amp;D84&amp;"Adjustments Budget - Cash Flows"</f>
        <v>Greater Tzaneen Development Agency - Table E5 Adjustments Budget - Cash Flows</v>
      </c>
      <c r="C84" s="10"/>
      <c r="D84" s="15" t="s">
        <v>528</v>
      </c>
    </row>
    <row r="85" spans="1:5" x14ac:dyDescent="0.2">
      <c r="A85" s="12" t="s">
        <v>293</v>
      </c>
      <c r="B85" s="4" t="str">
        <f>B76&amp;" - "&amp;D85&amp;"Adjustments Budget - measurable performance targets"</f>
        <v>Greater Tzaneen Development Agency - Supporting Table SE1  Adjustments Budget - measurable performance targets</v>
      </c>
      <c r="C85" s="4"/>
      <c r="D85" s="302" t="s">
        <v>585</v>
      </c>
    </row>
    <row r="86" spans="1:5" x14ac:dyDescent="0.2">
      <c r="A86" s="12" t="s">
        <v>294</v>
      </c>
      <c r="B86" s="4" t="str">
        <f>B76&amp;" - "&amp;D86&amp;" Adjustments Budget  - financial and non-financial indicators"</f>
        <v>Greater Tzaneen Development Agency - Supporting Table SE2   Adjustments Budget  - financial and non-financial indicators</v>
      </c>
      <c r="C86" s="4"/>
      <c r="D86" s="302" t="s">
        <v>584</v>
      </c>
    </row>
    <row r="87" spans="1:5" x14ac:dyDescent="0.2">
      <c r="A87" s="12" t="s">
        <v>357</v>
      </c>
      <c r="B87" s="4" t="str">
        <f>B76&amp;" - "&amp;D87&amp;" Adjustments Budget  - investment Portfolio"</f>
        <v>Greater Tzaneen Development Agency - Supporting Table SE3   Adjustments Budget  - investment Portfolio</v>
      </c>
      <c r="C87" s="4"/>
      <c r="D87" s="302" t="s">
        <v>586</v>
      </c>
    </row>
    <row r="88" spans="1:5" x14ac:dyDescent="0.2">
      <c r="A88" s="12" t="s">
        <v>190</v>
      </c>
      <c r="B88" s="4" t="str">
        <f>B76&amp;" - "&amp;D88&amp;" Adjustments Budget  - board member allowances and staff benefits"</f>
        <v>Greater Tzaneen Development Agency - Supporting Table SE4   Adjustments Budget  - board member allowances and staff benefits</v>
      </c>
      <c r="C88" s="4"/>
      <c r="D88" s="302" t="s">
        <v>587</v>
      </c>
    </row>
    <row r="89" spans="1:5" x14ac:dyDescent="0.2">
      <c r="A89" s="12" t="s">
        <v>412</v>
      </c>
      <c r="B89" s="4" t="str">
        <f>B76&amp;" - "&amp;D89&amp;" Adjustments Budget  - monthly cash and revenue/expenditure"</f>
        <v>Greater Tzaneen Development Agency - Supporting Table SE5   Adjustments Budget  - monthly cash and revenue/expenditure</v>
      </c>
      <c r="C89" s="4"/>
      <c r="D89" s="302" t="s">
        <v>588</v>
      </c>
    </row>
    <row r="90" spans="1:5" x14ac:dyDescent="0.2">
      <c r="A90" s="12" t="s">
        <v>592</v>
      </c>
      <c r="B90" s="4" t="str">
        <f>B76&amp;" - "&amp;D90&amp;" Adjustments capital expenditure on new assets by asset category"</f>
        <v>Greater Tzaneen Development Agency - Supporting Table SE6a   Adjustments capital expenditure on new assets by asset category</v>
      </c>
      <c r="C90" s="4"/>
      <c r="D90" s="302" t="s">
        <v>593</v>
      </c>
      <c r="E90" s="8"/>
    </row>
    <row r="91" spans="1:5" x14ac:dyDescent="0.2">
      <c r="A91" s="12" t="s">
        <v>590</v>
      </c>
      <c r="B91" s="4" t="str">
        <f>B76&amp;" - "&amp;D91&amp;" Adjustments capital expenditure on renewal of existing assets by asset category"</f>
        <v>Greater Tzaneen Development Agency - Supporting Table SE6b Adjustments capital expenditure on renewal of existing assets by asset category</v>
      </c>
      <c r="C91" s="4"/>
      <c r="D91" s="302" t="s">
        <v>594</v>
      </c>
    </row>
    <row r="92" spans="1:5" x14ac:dyDescent="0.2">
      <c r="A92" s="12" t="s">
        <v>591</v>
      </c>
      <c r="B92" s="4" t="str">
        <f>B76&amp;" - "&amp;D92&amp;" Adjustments expenditure on repairs and maintenance by asset category"</f>
        <v>Greater Tzaneen Development Agency - Supporting Table SE6c Adjustments expenditure on repairs and maintenance by asset category</v>
      </c>
      <c r="C92" s="4"/>
      <c r="D92" s="302" t="s">
        <v>595</v>
      </c>
    </row>
    <row r="93" spans="1:5" x14ac:dyDescent="0.2">
      <c r="A93" s="12" t="s">
        <v>413</v>
      </c>
      <c r="B93" s="4" t="str">
        <f>B76&amp;" - "&amp;D93&amp;" List of capital programmes and projects affected by Adjustments Budget"</f>
        <v>Greater Tzaneen Development Agency - Supporting Table SE7   List of capital programmes and projects affected by Adjustments Budget</v>
      </c>
      <c r="C93" s="4"/>
      <c r="D93" s="302" t="s">
        <v>589</v>
      </c>
    </row>
    <row r="94" spans="1:5" x14ac:dyDescent="0.2">
      <c r="A94" s="13"/>
      <c r="B94" s="10"/>
      <c r="C94" s="10"/>
      <c r="D94" s="15"/>
    </row>
    <row r="95" spans="1:5" x14ac:dyDescent="0.2">
      <c r="A95" s="1"/>
    </row>
    <row r="96" spans="1:5" x14ac:dyDescent="0.2">
      <c r="A96" s="1"/>
    </row>
    <row r="97" spans="1:4" x14ac:dyDescent="0.2">
      <c r="A97" s="1"/>
    </row>
    <row r="98" spans="1:4" x14ac:dyDescent="0.2">
      <c r="D98" s="3"/>
    </row>
  </sheetData>
  <sheetProtection selectLockedCells="1"/>
  <mergeCells count="3">
    <mergeCell ref="A1:D1"/>
    <mergeCell ref="A75:D75"/>
    <mergeCell ref="A78:B78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SaveForUsers">
                <anchor moveWithCells="1" sizeWithCells="1">
                  <from>
                    <xdr:col>4</xdr:col>
                    <xdr:colOff>190500</xdr:colOff>
                    <xdr:row>1</xdr:row>
                    <xdr:rowOff>104775</xdr:rowOff>
                  </from>
                  <to>
                    <xdr:col>7</xdr:col>
                    <xdr:colOff>66675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U312"/>
  <sheetViews>
    <sheetView workbookViewId="0">
      <selection activeCell="E66" sqref="E65:E66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5" width="41.85546875" style="1" customWidth="1"/>
    <col min="16" max="16" width="1.28515625" style="1" customWidth="1"/>
    <col min="17" max="17" width="9.140625" style="1"/>
    <col min="18" max="18" width="24.140625" style="1" bestFit="1" customWidth="1"/>
    <col min="19" max="19" width="17.5703125" style="1" bestFit="1" customWidth="1"/>
    <col min="20" max="20" width="22.5703125" style="1" bestFit="1" customWidth="1"/>
    <col min="21" max="21" width="14.7109375" style="1" bestFit="1" customWidth="1"/>
    <col min="22" max="16384" width="9.140625" style="1"/>
  </cols>
  <sheetData>
    <row r="1" spans="1:21" s="186" customFormat="1" x14ac:dyDescent="0.2">
      <c r="A1" s="187" t="s">
        <v>199</v>
      </c>
      <c r="B1" s="188">
        <v>2007</v>
      </c>
      <c r="C1" s="188">
        <v>2008</v>
      </c>
      <c r="D1" s="188">
        <v>2009</v>
      </c>
      <c r="E1" s="188">
        <v>2010</v>
      </c>
      <c r="F1" s="188">
        <v>2011</v>
      </c>
      <c r="G1" s="188">
        <v>2012</v>
      </c>
      <c r="H1" s="188">
        <v>2013</v>
      </c>
      <c r="I1" s="188">
        <v>2014</v>
      </c>
      <c r="J1" s="188">
        <v>2015</v>
      </c>
      <c r="K1" s="188">
        <v>2016</v>
      </c>
      <c r="L1" s="188">
        <v>2017</v>
      </c>
      <c r="M1" s="188">
        <v>2018</v>
      </c>
      <c r="N1" s="188">
        <v>2019</v>
      </c>
      <c r="O1" s="188">
        <v>2020</v>
      </c>
      <c r="P1" s="189"/>
      <c r="Q1" s="190" t="s">
        <v>453</v>
      </c>
      <c r="R1" s="190" t="s">
        <v>454</v>
      </c>
      <c r="S1" s="190" t="s">
        <v>455</v>
      </c>
      <c r="T1" s="190" t="s">
        <v>456</v>
      </c>
      <c r="U1" s="190" t="s">
        <v>457</v>
      </c>
    </row>
    <row r="2" spans="1:21" x14ac:dyDescent="0.2">
      <c r="A2" s="8" t="s">
        <v>504</v>
      </c>
      <c r="B2" s="4" t="s">
        <v>91</v>
      </c>
      <c r="C2" s="4" t="s">
        <v>459</v>
      </c>
      <c r="D2" s="4" t="s">
        <v>460</v>
      </c>
      <c r="E2" s="191" t="str">
        <f t="shared" ref="E2:O2" si="0">E1-1&amp;"/"&amp;RIGHT(E1,2)-0</f>
        <v>2009/10</v>
      </c>
      <c r="F2" s="4" t="str">
        <f t="shared" si="0"/>
        <v>2010/11</v>
      </c>
      <c r="G2" s="4" t="str">
        <f t="shared" si="0"/>
        <v>2011/12</v>
      </c>
      <c r="H2" s="4" t="str">
        <f t="shared" si="0"/>
        <v>2012/13</v>
      </c>
      <c r="I2" s="4" t="str">
        <f t="shared" si="0"/>
        <v>2013/14</v>
      </c>
      <c r="J2" s="4" t="str">
        <f t="shared" si="0"/>
        <v>2014/15</v>
      </c>
      <c r="K2" s="4" t="str">
        <f t="shared" si="0"/>
        <v>2015/16</v>
      </c>
      <c r="L2" s="4" t="str">
        <f t="shared" si="0"/>
        <v>2016/17</v>
      </c>
      <c r="M2" s="4" t="str">
        <f t="shared" si="0"/>
        <v>2017/18</v>
      </c>
      <c r="N2" s="4" t="str">
        <f t="shared" si="0"/>
        <v>2018/19</v>
      </c>
      <c r="O2" s="4" t="str">
        <f t="shared" si="0"/>
        <v>2019/20</v>
      </c>
      <c r="P2" s="4"/>
      <c r="R2" s="1" t="s">
        <v>461</v>
      </c>
      <c r="S2" s="1" t="s">
        <v>462</v>
      </c>
      <c r="T2" s="1" t="s">
        <v>463</v>
      </c>
    </row>
    <row r="3" spans="1:21" x14ac:dyDescent="0.2">
      <c r="A3" s="8" t="s">
        <v>505</v>
      </c>
      <c r="B3" s="17" t="s">
        <v>458</v>
      </c>
      <c r="C3" s="4" t="s">
        <v>91</v>
      </c>
      <c r="D3" s="4" t="s">
        <v>459</v>
      </c>
      <c r="E3" s="191" t="str">
        <f t="shared" ref="E3:O3" si="1">E1-2&amp;"/"&amp;RIGHT(E1,2)-1</f>
        <v>2008/9</v>
      </c>
      <c r="F3" s="4" t="str">
        <f t="shared" si="1"/>
        <v>2009/10</v>
      </c>
      <c r="G3" s="4" t="str">
        <f t="shared" si="1"/>
        <v>2010/11</v>
      </c>
      <c r="H3" s="4" t="str">
        <f t="shared" si="1"/>
        <v>2011/12</v>
      </c>
      <c r="I3" s="4" t="str">
        <f t="shared" si="1"/>
        <v>2012/13</v>
      </c>
      <c r="J3" s="4" t="str">
        <f t="shared" si="1"/>
        <v>2013/14</v>
      </c>
      <c r="K3" s="4" t="str">
        <f t="shared" si="1"/>
        <v>2014/15</v>
      </c>
      <c r="L3" s="4" t="str">
        <f t="shared" si="1"/>
        <v>2015/16</v>
      </c>
      <c r="M3" s="4" t="str">
        <f t="shared" si="1"/>
        <v>2016/17</v>
      </c>
      <c r="N3" s="4" t="str">
        <f t="shared" si="1"/>
        <v>2017/18</v>
      </c>
      <c r="O3" s="4" t="str">
        <f t="shared" si="1"/>
        <v>2018/19</v>
      </c>
      <c r="P3" s="4"/>
      <c r="R3" s="1" t="s">
        <v>464</v>
      </c>
      <c r="S3" s="1" t="s">
        <v>465</v>
      </c>
      <c r="T3" s="1" t="s">
        <v>466</v>
      </c>
    </row>
    <row r="4" spans="1:21" x14ac:dyDescent="0.2">
      <c r="A4" s="8" t="s">
        <v>506</v>
      </c>
      <c r="B4" s="17" t="s">
        <v>72</v>
      </c>
      <c r="C4" s="4" t="s">
        <v>458</v>
      </c>
      <c r="D4" s="4" t="s">
        <v>91</v>
      </c>
      <c r="E4" s="191" t="str">
        <f t="shared" ref="E4:O4" si="2">E1-3&amp;"/"&amp;RIGHT(E1,2)-2</f>
        <v>2007/8</v>
      </c>
      <c r="F4" s="4" t="str">
        <f t="shared" si="2"/>
        <v>2008/9</v>
      </c>
      <c r="G4" s="4" t="str">
        <f t="shared" si="2"/>
        <v>2009/10</v>
      </c>
      <c r="H4" s="4" t="str">
        <f t="shared" si="2"/>
        <v>2010/11</v>
      </c>
      <c r="I4" s="4" t="str">
        <f t="shared" si="2"/>
        <v>2011/12</v>
      </c>
      <c r="J4" s="4" t="str">
        <f t="shared" si="2"/>
        <v>2012/13</v>
      </c>
      <c r="K4" s="4" t="str">
        <f t="shared" si="2"/>
        <v>2013/14</v>
      </c>
      <c r="L4" s="4" t="str">
        <f t="shared" si="2"/>
        <v>2014/15</v>
      </c>
      <c r="M4" s="4" t="str">
        <f t="shared" si="2"/>
        <v>2015/16</v>
      </c>
      <c r="N4" s="4" t="str">
        <f t="shared" si="2"/>
        <v>2016/17</v>
      </c>
      <c r="O4" s="4" t="str">
        <f t="shared" si="2"/>
        <v>2017/18</v>
      </c>
      <c r="P4" s="4"/>
      <c r="R4" s="1" t="s">
        <v>467</v>
      </c>
      <c r="S4" s="1" t="s">
        <v>468</v>
      </c>
      <c r="T4" s="1" t="s">
        <v>469</v>
      </c>
    </row>
    <row r="5" spans="1:21" x14ac:dyDescent="0.2">
      <c r="A5" s="8" t="s">
        <v>507</v>
      </c>
      <c r="B5" s="4" t="s">
        <v>470</v>
      </c>
      <c r="C5" s="4" t="s">
        <v>471</v>
      </c>
      <c r="D5" s="4" t="s">
        <v>472</v>
      </c>
      <c r="E5" s="191" t="s">
        <v>473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R5" s="1" t="s">
        <v>474</v>
      </c>
      <c r="S5" s="1" t="s">
        <v>475</v>
      </c>
      <c r="T5" s="1" t="s">
        <v>476</v>
      </c>
    </row>
    <row r="6" spans="1:21" x14ac:dyDescent="0.2">
      <c r="A6" s="8" t="s">
        <v>507</v>
      </c>
      <c r="B6" s="4" t="s">
        <v>91</v>
      </c>
      <c r="C6" s="4" t="s">
        <v>459</v>
      </c>
      <c r="D6" s="4" t="s">
        <v>460</v>
      </c>
      <c r="E6" s="191" t="s">
        <v>477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1" t="s">
        <v>478</v>
      </c>
      <c r="T6" s="1" t="s">
        <v>479</v>
      </c>
    </row>
    <row r="7" spans="1:21" x14ac:dyDescent="0.2">
      <c r="A7" s="8" t="s">
        <v>508</v>
      </c>
      <c r="B7" s="4" t="s">
        <v>480</v>
      </c>
      <c r="C7" s="4" t="s">
        <v>481</v>
      </c>
      <c r="D7" s="4" t="s">
        <v>482</v>
      </c>
      <c r="E7" s="191" t="str">
        <f>E1&amp;"/"&amp;RIGHT(E1,2)+1&amp;" Medium Term Revenue &amp; Expenditure Framework"</f>
        <v>2010/11 Medium Term Revenue &amp; Expenditure Framework</v>
      </c>
      <c r="F7" s="191" t="str">
        <f t="shared" ref="F7:O7" si="3">F1&amp;"/"&amp;RIGHT(F1,2)+1&amp;" Medium Term Revenue &amp; Expenditure Framework"</f>
        <v>2011/12 Medium Term Revenue &amp; Expenditure Framework</v>
      </c>
      <c r="G7" s="191" t="str">
        <f t="shared" si="3"/>
        <v>2012/13 Medium Term Revenue &amp; Expenditure Framework</v>
      </c>
      <c r="H7" s="191" t="str">
        <f t="shared" si="3"/>
        <v>2013/14 Medium Term Revenue &amp; Expenditure Framework</v>
      </c>
      <c r="I7" s="191" t="str">
        <f t="shared" si="3"/>
        <v>2014/15 Medium Term Revenue &amp; Expenditure Framework</v>
      </c>
      <c r="J7" s="191" t="str">
        <f t="shared" si="3"/>
        <v>2015/16 Medium Term Revenue &amp; Expenditure Framework</v>
      </c>
      <c r="K7" s="191" t="str">
        <f t="shared" si="3"/>
        <v>2016/17 Medium Term Revenue &amp; Expenditure Framework</v>
      </c>
      <c r="L7" s="191" t="str">
        <f t="shared" si="3"/>
        <v>2017/18 Medium Term Revenue &amp; Expenditure Framework</v>
      </c>
      <c r="M7" s="191" t="str">
        <f t="shared" si="3"/>
        <v>2018/19 Medium Term Revenue &amp; Expenditure Framework</v>
      </c>
      <c r="N7" s="191" t="str">
        <f t="shared" si="3"/>
        <v>2019/20 Medium Term Revenue &amp; Expenditure Framework</v>
      </c>
      <c r="O7" s="191" t="str">
        <f t="shared" si="3"/>
        <v>2020/21 Medium Term Revenue &amp; Expenditure Framework</v>
      </c>
      <c r="P7" s="4"/>
      <c r="R7" s="1" t="s">
        <v>483</v>
      </c>
    </row>
    <row r="8" spans="1:21" x14ac:dyDescent="0.2">
      <c r="A8" s="8" t="s">
        <v>509</v>
      </c>
      <c r="B8" s="4" t="s">
        <v>484</v>
      </c>
      <c r="C8" s="4" t="s">
        <v>485</v>
      </c>
      <c r="D8" s="4" t="s">
        <v>486</v>
      </c>
      <c r="E8" s="191" t="str">
        <f>"Budget Year "&amp;E1&amp;"/"&amp;RIGHT(E2,2)+1</f>
        <v>Budget Year 2010/11</v>
      </c>
      <c r="F8" s="191" t="str">
        <f t="shared" ref="F8:O8" si="4">"Budget Year "&amp;F1&amp;"/"&amp;RIGHT(F2,2)+1</f>
        <v>Budget Year 2011/12</v>
      </c>
      <c r="G8" s="191" t="str">
        <f t="shared" si="4"/>
        <v>Budget Year 2012/13</v>
      </c>
      <c r="H8" s="191" t="str">
        <f t="shared" si="4"/>
        <v>Budget Year 2013/14</v>
      </c>
      <c r="I8" s="191" t="str">
        <f t="shared" si="4"/>
        <v>Budget Year 2014/15</v>
      </c>
      <c r="J8" s="191" t="str">
        <f t="shared" si="4"/>
        <v>Budget Year 2015/16</v>
      </c>
      <c r="K8" s="191" t="str">
        <f t="shared" si="4"/>
        <v>Budget Year 2016/17</v>
      </c>
      <c r="L8" s="191" t="str">
        <f t="shared" si="4"/>
        <v>Budget Year 2017/18</v>
      </c>
      <c r="M8" s="191" t="str">
        <f t="shared" si="4"/>
        <v>Budget Year 2018/19</v>
      </c>
      <c r="N8" s="191" t="str">
        <f t="shared" si="4"/>
        <v>Budget Year 2019/20</v>
      </c>
      <c r="O8" s="191" t="str">
        <f t="shared" si="4"/>
        <v>Budget Year 2020/21</v>
      </c>
      <c r="P8" s="4"/>
    </row>
    <row r="9" spans="1:21" x14ac:dyDescent="0.2">
      <c r="A9" s="8" t="s">
        <v>510</v>
      </c>
      <c r="B9" s="4" t="s">
        <v>487</v>
      </c>
      <c r="C9" s="4" t="s">
        <v>488</v>
      </c>
      <c r="D9" s="4" t="s">
        <v>489</v>
      </c>
      <c r="E9" s="191" t="str">
        <f>"Budget Year +1 "&amp;E1+1&amp;"/"&amp;RIGHT(E2,2)+2</f>
        <v>Budget Year +1 2011/12</v>
      </c>
      <c r="F9" s="191" t="str">
        <f t="shared" ref="F9:O9" si="5">"Budget Year +1 "&amp;F1+1&amp;"/"&amp;RIGHT(F2,2)+2</f>
        <v>Budget Year +1 2012/13</v>
      </c>
      <c r="G9" s="191" t="str">
        <f t="shared" si="5"/>
        <v>Budget Year +1 2013/14</v>
      </c>
      <c r="H9" s="191" t="str">
        <f t="shared" si="5"/>
        <v>Budget Year +1 2014/15</v>
      </c>
      <c r="I9" s="191" t="str">
        <f t="shared" si="5"/>
        <v>Budget Year +1 2015/16</v>
      </c>
      <c r="J9" s="191" t="str">
        <f t="shared" si="5"/>
        <v>Budget Year +1 2016/17</v>
      </c>
      <c r="K9" s="191" t="str">
        <f t="shared" si="5"/>
        <v>Budget Year +1 2017/18</v>
      </c>
      <c r="L9" s="191" t="str">
        <f t="shared" si="5"/>
        <v>Budget Year +1 2018/19</v>
      </c>
      <c r="M9" s="191" t="str">
        <f t="shared" si="5"/>
        <v>Budget Year +1 2019/20</v>
      </c>
      <c r="N9" s="191" t="str">
        <f t="shared" si="5"/>
        <v>Budget Year +1 2020/21</v>
      </c>
      <c r="O9" s="191" t="str">
        <f t="shared" si="5"/>
        <v>Budget Year +1 2021/22</v>
      </c>
      <c r="P9" s="4"/>
      <c r="R9" s="192"/>
    </row>
    <row r="10" spans="1:21" x14ac:dyDescent="0.2">
      <c r="A10" s="8" t="s">
        <v>511</v>
      </c>
      <c r="B10" s="4" t="s">
        <v>490</v>
      </c>
      <c r="C10" s="4" t="s">
        <v>491</v>
      </c>
      <c r="D10" s="4" t="s">
        <v>492</v>
      </c>
      <c r="E10" s="191" t="str">
        <f>"Budget Year +2 "&amp;E1+2&amp;"/"&amp;RIGHT(E2,2)+3</f>
        <v>Budget Year +2 2012/13</v>
      </c>
      <c r="F10" s="191" t="str">
        <f t="shared" ref="F10:O10" si="6">"Budget Year +2 "&amp;F1+2&amp;"/"&amp;RIGHT(F2,2)+3</f>
        <v>Budget Year +2 2013/14</v>
      </c>
      <c r="G10" s="191" t="str">
        <f t="shared" si="6"/>
        <v>Budget Year +2 2014/15</v>
      </c>
      <c r="H10" s="191" t="str">
        <f t="shared" si="6"/>
        <v>Budget Year +2 2015/16</v>
      </c>
      <c r="I10" s="191" t="str">
        <f t="shared" si="6"/>
        <v>Budget Year +2 2016/17</v>
      </c>
      <c r="J10" s="191" t="str">
        <f t="shared" si="6"/>
        <v>Budget Year +2 2017/18</v>
      </c>
      <c r="K10" s="191" t="str">
        <f t="shared" si="6"/>
        <v>Budget Year +2 2018/19</v>
      </c>
      <c r="L10" s="191" t="str">
        <f t="shared" si="6"/>
        <v>Budget Year +2 2019/20</v>
      </c>
      <c r="M10" s="191" t="str">
        <f t="shared" si="6"/>
        <v>Budget Year +2 2020/21</v>
      </c>
      <c r="N10" s="191" t="str">
        <f t="shared" si="6"/>
        <v>Budget Year +2 2021/22</v>
      </c>
      <c r="O10" s="191" t="str">
        <f t="shared" si="6"/>
        <v>Budget Year +2 2022/23</v>
      </c>
      <c r="P10" s="4"/>
    </row>
    <row r="11" spans="1:21" x14ac:dyDescent="0.2">
      <c r="A11" s="8" t="s">
        <v>512</v>
      </c>
      <c r="B11" s="4" t="s">
        <v>221</v>
      </c>
      <c r="C11" s="4" t="s">
        <v>222</v>
      </c>
      <c r="D11" s="4" t="s">
        <v>223</v>
      </c>
      <c r="E11" s="191" t="s">
        <v>224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">
      <c r="A12" s="8" t="s">
        <v>513</v>
      </c>
      <c r="B12" s="4" t="s">
        <v>222</v>
      </c>
      <c r="C12" s="4" t="s">
        <v>223</v>
      </c>
      <c r="D12" s="4" t="s">
        <v>224</v>
      </c>
      <c r="E12" s="191" t="s">
        <v>93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x14ac:dyDescent="0.2">
      <c r="A13" s="8" t="s">
        <v>513</v>
      </c>
      <c r="B13" s="4" t="s">
        <v>223</v>
      </c>
      <c r="C13" s="4" t="s">
        <v>224</v>
      </c>
      <c r="D13" s="4" t="s">
        <v>93</v>
      </c>
      <c r="E13" s="191" t="s">
        <v>94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1" x14ac:dyDescent="0.2">
      <c r="A14" s="8" t="s">
        <v>513</v>
      </c>
      <c r="B14" s="4" t="s">
        <v>224</v>
      </c>
      <c r="C14" s="4" t="s">
        <v>93</v>
      </c>
      <c r="D14" s="4" t="s">
        <v>94</v>
      </c>
      <c r="E14" s="191" t="s">
        <v>95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1" x14ac:dyDescent="0.2">
      <c r="A15" s="8" t="s">
        <v>513</v>
      </c>
      <c r="B15" s="4" t="s">
        <v>93</v>
      </c>
      <c r="C15" s="4" t="s">
        <v>94</v>
      </c>
      <c r="D15" s="4" t="s">
        <v>95</v>
      </c>
      <c r="E15" s="191" t="s">
        <v>96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" x14ac:dyDescent="0.2">
      <c r="A16" s="8" t="s">
        <v>513</v>
      </c>
      <c r="B16" s="4" t="s">
        <v>94</v>
      </c>
      <c r="C16" s="4" t="s">
        <v>95</v>
      </c>
      <c r="D16" s="4" t="s">
        <v>96</v>
      </c>
      <c r="E16" s="191" t="s">
        <v>11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8" t="s">
        <v>513</v>
      </c>
      <c r="B17" s="4" t="s">
        <v>95</v>
      </c>
      <c r="C17" s="4" t="s">
        <v>96</v>
      </c>
      <c r="D17" s="4" t="s">
        <v>11</v>
      </c>
      <c r="E17" s="191" t="s">
        <v>10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">
      <c r="A18" s="8" t="s">
        <v>513</v>
      </c>
      <c r="B18" s="4" t="s">
        <v>96</v>
      </c>
      <c r="C18" s="4" t="s">
        <v>11</v>
      </c>
      <c r="D18" s="4" t="s">
        <v>10</v>
      </c>
      <c r="E18" s="191" t="s">
        <v>97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">
      <c r="A19" s="8" t="s">
        <v>513</v>
      </c>
      <c r="B19" s="4" t="s">
        <v>11</v>
      </c>
      <c r="C19" s="4" t="s">
        <v>10</v>
      </c>
      <c r="D19" s="4" t="s">
        <v>97</v>
      </c>
      <c r="E19" s="191" t="s">
        <v>397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">
      <c r="A20" s="8" t="s">
        <v>513</v>
      </c>
      <c r="B20" s="4" t="s">
        <v>10</v>
      </c>
      <c r="C20" s="4" t="s">
        <v>97</v>
      </c>
      <c r="D20" s="4" t="s">
        <v>397</v>
      </c>
      <c r="E20" s="191" t="s">
        <v>493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">
      <c r="A21" s="8" t="s">
        <v>513</v>
      </c>
      <c r="B21" s="4" t="s">
        <v>97</v>
      </c>
      <c r="C21" s="4" t="s">
        <v>397</v>
      </c>
      <c r="D21" s="4" t="s">
        <v>493</v>
      </c>
      <c r="E21" s="191" t="s">
        <v>494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8" t="s">
        <v>513</v>
      </c>
      <c r="B22" s="4" t="s">
        <v>397</v>
      </c>
      <c r="C22" s="4" t="s">
        <v>493</v>
      </c>
      <c r="D22" s="4" t="s">
        <v>494</v>
      </c>
      <c r="E22" s="191" t="s">
        <v>495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8" t="s">
        <v>496</v>
      </c>
      <c r="B23" s="4" t="s">
        <v>267</v>
      </c>
      <c r="C23" s="4" t="s">
        <v>497</v>
      </c>
      <c r="D23" s="4" t="s">
        <v>498</v>
      </c>
      <c r="E23" s="191" t="s">
        <v>499</v>
      </c>
      <c r="F23" s="4" t="str">
        <f>"Annual target " &amp; E1&amp;"/"&amp;RIGHT(E1,2)+1</f>
        <v>Annual target 2010/11</v>
      </c>
      <c r="G23" s="4" t="str">
        <f t="shared" ref="G23:O23" si="7">"Annual target " &amp; F1&amp;"/"&amp;RIGHT(F1,2)+1</f>
        <v>Annual target 2011/12</v>
      </c>
      <c r="H23" s="4" t="str">
        <f t="shared" si="7"/>
        <v>Annual target 2012/13</v>
      </c>
      <c r="I23" s="4" t="str">
        <f t="shared" si="7"/>
        <v>Annual target 2013/14</v>
      </c>
      <c r="J23" s="4" t="str">
        <f t="shared" si="7"/>
        <v>Annual target 2014/15</v>
      </c>
      <c r="K23" s="4" t="str">
        <f t="shared" si="7"/>
        <v>Annual target 2015/16</v>
      </c>
      <c r="L23" s="4" t="str">
        <f t="shared" si="7"/>
        <v>Annual target 2016/17</v>
      </c>
      <c r="M23" s="4" t="str">
        <f t="shared" si="7"/>
        <v>Annual target 2017/18</v>
      </c>
      <c r="N23" s="4" t="str">
        <f t="shared" si="7"/>
        <v>Annual target 2018/19</v>
      </c>
      <c r="O23" s="4" t="str">
        <f t="shared" si="7"/>
        <v>Annual target 2019/20</v>
      </c>
      <c r="P23" s="4"/>
    </row>
    <row r="24" spans="1:16" x14ac:dyDescent="0.2">
      <c r="A24" s="193" t="s">
        <v>496</v>
      </c>
      <c r="B24" s="10" t="s">
        <v>268</v>
      </c>
      <c r="C24" s="10" t="s">
        <v>500</v>
      </c>
      <c r="D24" s="10" t="s">
        <v>501</v>
      </c>
      <c r="E24" s="194" t="s">
        <v>502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"/>
    </row>
    <row r="25" spans="1:16" ht="18" x14ac:dyDescent="0.25">
      <c r="A25" s="195" t="s">
        <v>503</v>
      </c>
    </row>
    <row r="27" spans="1:16" x14ac:dyDescent="0.2">
      <c r="A27" s="1" t="s">
        <v>598</v>
      </c>
      <c r="B27" s="1">
        <v>171</v>
      </c>
    </row>
    <row r="28" spans="1:16" x14ac:dyDescent="0.2">
      <c r="A28" s="1" t="s">
        <v>599</v>
      </c>
      <c r="B28" s="1" t="str">
        <f>INDEX(B29:B312,B27,1)</f>
        <v>LIM333 Greater Tzaneen</v>
      </c>
    </row>
    <row r="29" spans="1:16" x14ac:dyDescent="0.2">
      <c r="B29" s="1" t="s">
        <v>600</v>
      </c>
      <c r="C29" s="1" t="s">
        <v>601</v>
      </c>
    </row>
    <row r="30" spans="1:16" x14ac:dyDescent="0.2">
      <c r="B30" s="1" t="s">
        <v>602</v>
      </c>
      <c r="C30" s="1" t="s">
        <v>603</v>
      </c>
    </row>
    <row r="31" spans="1:16" x14ac:dyDescent="0.2">
      <c r="B31" s="1" t="s">
        <v>604</v>
      </c>
      <c r="C31" s="1" t="s">
        <v>605</v>
      </c>
    </row>
    <row r="32" spans="1:16" x14ac:dyDescent="0.2">
      <c r="B32" s="1" t="s">
        <v>606</v>
      </c>
      <c r="C32" s="1" t="s">
        <v>605</v>
      </c>
    </row>
    <row r="33" spans="2:3" x14ac:dyDescent="0.2">
      <c r="B33" s="1" t="s">
        <v>607</v>
      </c>
      <c r="C33" s="1" t="s">
        <v>605</v>
      </c>
    </row>
    <row r="34" spans="2:3" x14ac:dyDescent="0.2">
      <c r="B34" s="1" t="s">
        <v>608</v>
      </c>
      <c r="C34" s="1" t="s">
        <v>605</v>
      </c>
    </row>
    <row r="35" spans="2:3" x14ac:dyDescent="0.2">
      <c r="B35" s="1" t="s">
        <v>609</v>
      </c>
      <c r="C35" s="1" t="s">
        <v>605</v>
      </c>
    </row>
    <row r="36" spans="2:3" x14ac:dyDescent="0.2">
      <c r="B36" s="1" t="s">
        <v>610</v>
      </c>
      <c r="C36" s="1" t="s">
        <v>611</v>
      </c>
    </row>
    <row r="37" spans="2:3" x14ac:dyDescent="0.2">
      <c r="B37" s="1" t="s">
        <v>612</v>
      </c>
      <c r="C37" s="1" t="s">
        <v>611</v>
      </c>
    </row>
    <row r="38" spans="2:3" x14ac:dyDescent="0.2">
      <c r="B38" s="1" t="s">
        <v>613</v>
      </c>
      <c r="C38" s="1" t="s">
        <v>611</v>
      </c>
    </row>
    <row r="39" spans="2:3" x14ac:dyDescent="0.2">
      <c r="B39" s="1" t="s">
        <v>614</v>
      </c>
      <c r="C39" s="1" t="s">
        <v>611</v>
      </c>
    </row>
    <row r="40" spans="2:3" x14ac:dyDescent="0.2">
      <c r="B40" s="1" t="s">
        <v>615</v>
      </c>
      <c r="C40" s="1" t="s">
        <v>603</v>
      </c>
    </row>
    <row r="41" spans="2:3" x14ac:dyDescent="0.2">
      <c r="B41" s="1" t="s">
        <v>616</v>
      </c>
      <c r="C41" s="1" t="s">
        <v>611</v>
      </c>
    </row>
    <row r="42" spans="2:3" x14ac:dyDescent="0.2">
      <c r="B42" s="1" t="s">
        <v>617</v>
      </c>
      <c r="C42" s="1" t="s">
        <v>618</v>
      </c>
    </row>
    <row r="43" spans="2:3" x14ac:dyDescent="0.2">
      <c r="B43" s="1" t="s">
        <v>619</v>
      </c>
      <c r="C43" s="1" t="s">
        <v>618</v>
      </c>
    </row>
    <row r="44" spans="2:3" x14ac:dyDescent="0.2">
      <c r="B44" s="1" t="s">
        <v>620</v>
      </c>
      <c r="C44" s="1" t="s">
        <v>618</v>
      </c>
    </row>
    <row r="45" spans="2:3" x14ac:dyDescent="0.2">
      <c r="B45" s="1" t="s">
        <v>621</v>
      </c>
      <c r="C45" s="1" t="s">
        <v>618</v>
      </c>
    </row>
    <row r="46" spans="2:3" x14ac:dyDescent="0.2">
      <c r="B46" s="1" t="s">
        <v>622</v>
      </c>
      <c r="C46" s="1" t="s">
        <v>618</v>
      </c>
    </row>
    <row r="47" spans="2:3" x14ac:dyDescent="0.2">
      <c r="B47" s="1" t="s">
        <v>623</v>
      </c>
      <c r="C47" s="1" t="s">
        <v>618</v>
      </c>
    </row>
    <row r="48" spans="2:3" x14ac:dyDescent="0.2">
      <c r="B48" s="1" t="s">
        <v>624</v>
      </c>
      <c r="C48" s="1" t="s">
        <v>618</v>
      </c>
    </row>
    <row r="49" spans="2:3" x14ac:dyDescent="0.2">
      <c r="B49" s="1" t="s">
        <v>625</v>
      </c>
      <c r="C49" s="1" t="s">
        <v>618</v>
      </c>
    </row>
    <row r="50" spans="2:3" x14ac:dyDescent="0.2">
      <c r="B50" s="1" t="s">
        <v>626</v>
      </c>
      <c r="C50" s="1" t="s">
        <v>618</v>
      </c>
    </row>
    <row r="51" spans="2:3" x14ac:dyDescent="0.2">
      <c r="B51" s="1" t="s">
        <v>627</v>
      </c>
      <c r="C51" s="1" t="s">
        <v>603</v>
      </c>
    </row>
    <row r="52" spans="2:3" x14ac:dyDescent="0.2">
      <c r="B52" s="1" t="s">
        <v>628</v>
      </c>
      <c r="C52" s="1" t="s">
        <v>629</v>
      </c>
    </row>
    <row r="53" spans="2:3" x14ac:dyDescent="0.2">
      <c r="B53" s="1" t="s">
        <v>630</v>
      </c>
      <c r="C53" s="1" t="s">
        <v>629</v>
      </c>
    </row>
    <row r="54" spans="2:3" x14ac:dyDescent="0.2">
      <c r="B54" s="1" t="s">
        <v>631</v>
      </c>
      <c r="C54" s="1" t="s">
        <v>629</v>
      </c>
    </row>
    <row r="55" spans="2:3" x14ac:dyDescent="0.2">
      <c r="B55" s="1" t="s">
        <v>632</v>
      </c>
      <c r="C55" s="1" t="s">
        <v>633</v>
      </c>
    </row>
    <row r="56" spans="2:3" x14ac:dyDescent="0.2">
      <c r="B56" s="1" t="s">
        <v>634</v>
      </c>
      <c r="C56" s="1" t="s">
        <v>633</v>
      </c>
    </row>
    <row r="57" spans="2:3" x14ac:dyDescent="0.2">
      <c r="B57" s="1" t="s">
        <v>635</v>
      </c>
      <c r="C57" s="1" t="s">
        <v>633</v>
      </c>
    </row>
    <row r="58" spans="2:3" x14ac:dyDescent="0.2">
      <c r="B58" s="1" t="s">
        <v>636</v>
      </c>
      <c r="C58" s="1" t="s">
        <v>633</v>
      </c>
    </row>
    <row r="59" spans="2:3" x14ac:dyDescent="0.2">
      <c r="B59" s="1" t="s">
        <v>637</v>
      </c>
      <c r="C59" s="1" t="s">
        <v>638</v>
      </c>
    </row>
    <row r="60" spans="2:3" x14ac:dyDescent="0.2">
      <c r="B60" s="1" t="s">
        <v>639</v>
      </c>
      <c r="C60" s="1" t="s">
        <v>638</v>
      </c>
    </row>
    <row r="61" spans="2:3" x14ac:dyDescent="0.2">
      <c r="B61" s="1" t="s">
        <v>640</v>
      </c>
      <c r="C61" s="1" t="s">
        <v>638</v>
      </c>
    </row>
    <row r="62" spans="2:3" x14ac:dyDescent="0.2">
      <c r="B62" s="1" t="s">
        <v>641</v>
      </c>
      <c r="C62" s="1" t="s">
        <v>603</v>
      </c>
    </row>
    <row r="63" spans="2:3" x14ac:dyDescent="0.2">
      <c r="B63" s="1" t="s">
        <v>642</v>
      </c>
      <c r="C63" s="1" t="s">
        <v>638</v>
      </c>
    </row>
    <row r="64" spans="2:3" x14ac:dyDescent="0.2">
      <c r="B64" s="1" t="s">
        <v>643</v>
      </c>
      <c r="C64" s="1" t="s">
        <v>644</v>
      </c>
    </row>
    <row r="65" spans="2:3" x14ac:dyDescent="0.2">
      <c r="B65" s="1" t="s">
        <v>645</v>
      </c>
      <c r="C65" s="1" t="s">
        <v>618</v>
      </c>
    </row>
    <row r="66" spans="2:3" x14ac:dyDescent="0.2">
      <c r="B66" s="1" t="s">
        <v>646</v>
      </c>
      <c r="C66" s="1" t="s">
        <v>605</v>
      </c>
    </row>
    <row r="67" spans="2:3" x14ac:dyDescent="0.2">
      <c r="B67" s="1" t="s">
        <v>647</v>
      </c>
      <c r="C67" s="1" t="s">
        <v>648</v>
      </c>
    </row>
    <row r="68" spans="2:3" x14ac:dyDescent="0.2">
      <c r="B68" s="1" t="s">
        <v>649</v>
      </c>
      <c r="C68" s="1" t="s">
        <v>644</v>
      </c>
    </row>
    <row r="69" spans="2:3" x14ac:dyDescent="0.2">
      <c r="B69" s="1" t="s">
        <v>650</v>
      </c>
      <c r="C69" s="1" t="s">
        <v>633</v>
      </c>
    </row>
    <row r="70" spans="2:3" x14ac:dyDescent="0.2">
      <c r="B70" s="1" t="s">
        <v>651</v>
      </c>
      <c r="C70" s="1" t="s">
        <v>644</v>
      </c>
    </row>
    <row r="71" spans="2:3" x14ac:dyDescent="0.2">
      <c r="B71" s="1" t="s">
        <v>652</v>
      </c>
      <c r="C71" s="1" t="s">
        <v>603</v>
      </c>
    </row>
    <row r="72" spans="2:3" x14ac:dyDescent="0.2">
      <c r="B72" s="1" t="s">
        <v>653</v>
      </c>
      <c r="C72" s="1" t="s">
        <v>648</v>
      </c>
    </row>
    <row r="73" spans="2:3" x14ac:dyDescent="0.2">
      <c r="B73" s="1" t="s">
        <v>654</v>
      </c>
      <c r="C73" s="1" t="s">
        <v>648</v>
      </c>
    </row>
    <row r="74" spans="2:3" x14ac:dyDescent="0.2">
      <c r="B74" s="1" t="s">
        <v>655</v>
      </c>
      <c r="C74" s="1" t="s">
        <v>648</v>
      </c>
    </row>
    <row r="75" spans="2:3" x14ac:dyDescent="0.2">
      <c r="B75" s="1" t="s">
        <v>656</v>
      </c>
      <c r="C75" s="1" t="s">
        <v>648</v>
      </c>
    </row>
    <row r="76" spans="2:3" x14ac:dyDescent="0.2">
      <c r="B76" s="1" t="s">
        <v>657</v>
      </c>
      <c r="C76" s="1" t="s">
        <v>605</v>
      </c>
    </row>
    <row r="77" spans="2:3" x14ac:dyDescent="0.2">
      <c r="B77" s="1" t="s">
        <v>658</v>
      </c>
      <c r="C77" s="1" t="s">
        <v>605</v>
      </c>
    </row>
    <row r="78" spans="2:3" x14ac:dyDescent="0.2">
      <c r="B78" s="1" t="s">
        <v>659</v>
      </c>
      <c r="C78" s="1" t="s">
        <v>605</v>
      </c>
    </row>
    <row r="79" spans="2:3" x14ac:dyDescent="0.2">
      <c r="B79" s="1" t="s">
        <v>660</v>
      </c>
      <c r="C79" s="1" t="s">
        <v>605</v>
      </c>
    </row>
    <row r="80" spans="2:3" x14ac:dyDescent="0.2">
      <c r="B80" s="1" t="s">
        <v>661</v>
      </c>
      <c r="C80" s="1" t="s">
        <v>605</v>
      </c>
    </row>
    <row r="81" spans="2:3" x14ac:dyDescent="0.2">
      <c r="B81" s="1" t="s">
        <v>662</v>
      </c>
      <c r="C81" s="1" t="s">
        <v>605</v>
      </c>
    </row>
    <row r="82" spans="2:3" x14ac:dyDescent="0.2">
      <c r="B82" s="1" t="s">
        <v>663</v>
      </c>
      <c r="C82" s="1" t="s">
        <v>605</v>
      </c>
    </row>
    <row r="83" spans="2:3" x14ac:dyDescent="0.2">
      <c r="B83" s="1" t="s">
        <v>664</v>
      </c>
      <c r="C83" s="1" t="s">
        <v>605</v>
      </c>
    </row>
    <row r="84" spans="2:3" x14ac:dyDescent="0.2">
      <c r="B84" s="1" t="s">
        <v>665</v>
      </c>
      <c r="C84" s="1" t="s">
        <v>605</v>
      </c>
    </row>
    <row r="85" spans="2:3" x14ac:dyDescent="0.2">
      <c r="B85" s="1" t="s">
        <v>666</v>
      </c>
      <c r="C85" s="1" t="s">
        <v>605</v>
      </c>
    </row>
    <row r="86" spans="2:3" x14ac:dyDescent="0.2">
      <c r="B86" s="1" t="s">
        <v>667</v>
      </c>
      <c r="C86" s="1" t="s">
        <v>605</v>
      </c>
    </row>
    <row r="87" spans="2:3" x14ac:dyDescent="0.2">
      <c r="B87" s="1" t="s">
        <v>668</v>
      </c>
      <c r="C87" s="1" t="s">
        <v>605</v>
      </c>
    </row>
    <row r="88" spans="2:3" x14ac:dyDescent="0.2">
      <c r="B88" s="1" t="s">
        <v>669</v>
      </c>
      <c r="C88" s="1" t="s">
        <v>605</v>
      </c>
    </row>
    <row r="89" spans="2:3" x14ac:dyDescent="0.2">
      <c r="B89" s="1" t="s">
        <v>670</v>
      </c>
      <c r="C89" s="1" t="s">
        <v>605</v>
      </c>
    </row>
    <row r="90" spans="2:3" x14ac:dyDescent="0.2">
      <c r="B90" s="1" t="s">
        <v>671</v>
      </c>
      <c r="C90" s="1" t="s">
        <v>605</v>
      </c>
    </row>
    <row r="91" spans="2:3" x14ac:dyDescent="0.2">
      <c r="B91" s="1" t="s">
        <v>672</v>
      </c>
      <c r="C91" s="1" t="s">
        <v>605</v>
      </c>
    </row>
    <row r="92" spans="2:3" x14ac:dyDescent="0.2">
      <c r="B92" s="1" t="s">
        <v>673</v>
      </c>
      <c r="C92" s="1" t="s">
        <v>605</v>
      </c>
    </row>
    <row r="93" spans="2:3" x14ac:dyDescent="0.2">
      <c r="B93" s="1" t="s">
        <v>674</v>
      </c>
      <c r="C93" s="1" t="s">
        <v>605</v>
      </c>
    </row>
    <row r="94" spans="2:3" x14ac:dyDescent="0.2">
      <c r="B94" s="1" t="s">
        <v>675</v>
      </c>
      <c r="C94" s="1" t="s">
        <v>605</v>
      </c>
    </row>
    <row r="95" spans="2:3" x14ac:dyDescent="0.2">
      <c r="B95" s="1" t="s">
        <v>676</v>
      </c>
      <c r="C95" s="1" t="s">
        <v>605</v>
      </c>
    </row>
    <row r="96" spans="2:3" x14ac:dyDescent="0.2">
      <c r="B96" s="1" t="s">
        <v>677</v>
      </c>
      <c r="C96" s="1" t="s">
        <v>605</v>
      </c>
    </row>
    <row r="97" spans="2:3" x14ac:dyDescent="0.2">
      <c r="B97" s="1" t="s">
        <v>678</v>
      </c>
      <c r="C97" s="1" t="s">
        <v>605</v>
      </c>
    </row>
    <row r="98" spans="2:3" x14ac:dyDescent="0.2">
      <c r="B98" s="1" t="s">
        <v>679</v>
      </c>
      <c r="C98" s="1" t="s">
        <v>605</v>
      </c>
    </row>
    <row r="99" spans="2:3" x14ac:dyDescent="0.2">
      <c r="B99" s="1" t="s">
        <v>680</v>
      </c>
      <c r="C99" s="1" t="s">
        <v>605</v>
      </c>
    </row>
    <row r="100" spans="2:3" x14ac:dyDescent="0.2">
      <c r="B100" s="1" t="s">
        <v>681</v>
      </c>
      <c r="C100" s="1" t="s">
        <v>605</v>
      </c>
    </row>
    <row r="101" spans="2:3" x14ac:dyDescent="0.2">
      <c r="B101" s="1" t="s">
        <v>682</v>
      </c>
      <c r="C101" s="1" t="s">
        <v>605</v>
      </c>
    </row>
    <row r="102" spans="2:3" x14ac:dyDescent="0.2">
      <c r="B102" s="1" t="s">
        <v>683</v>
      </c>
      <c r="C102" s="1" t="s">
        <v>605</v>
      </c>
    </row>
    <row r="103" spans="2:3" x14ac:dyDescent="0.2">
      <c r="B103" s="1" t="s">
        <v>684</v>
      </c>
      <c r="C103" s="1" t="s">
        <v>605</v>
      </c>
    </row>
    <row r="104" spans="2:3" x14ac:dyDescent="0.2">
      <c r="B104" s="1" t="s">
        <v>685</v>
      </c>
      <c r="C104" s="1" t="s">
        <v>605</v>
      </c>
    </row>
    <row r="105" spans="2:3" x14ac:dyDescent="0.2">
      <c r="B105" s="1" t="s">
        <v>686</v>
      </c>
      <c r="C105" s="1" t="s">
        <v>605</v>
      </c>
    </row>
    <row r="106" spans="2:3" x14ac:dyDescent="0.2">
      <c r="B106" s="1" t="s">
        <v>687</v>
      </c>
      <c r="C106" s="1" t="s">
        <v>605</v>
      </c>
    </row>
    <row r="107" spans="2:3" x14ac:dyDescent="0.2">
      <c r="B107" s="1" t="s">
        <v>688</v>
      </c>
      <c r="C107" s="1" t="s">
        <v>605</v>
      </c>
    </row>
    <row r="108" spans="2:3" x14ac:dyDescent="0.2">
      <c r="B108" s="1" t="s">
        <v>689</v>
      </c>
      <c r="C108" s="1" t="s">
        <v>605</v>
      </c>
    </row>
    <row r="109" spans="2:3" x14ac:dyDescent="0.2">
      <c r="B109" s="1" t="s">
        <v>690</v>
      </c>
      <c r="C109" s="1" t="s">
        <v>605</v>
      </c>
    </row>
    <row r="110" spans="2:3" x14ac:dyDescent="0.2">
      <c r="B110" s="1" t="s">
        <v>691</v>
      </c>
      <c r="C110" s="1" t="s">
        <v>605</v>
      </c>
    </row>
    <row r="111" spans="2:3" x14ac:dyDescent="0.2">
      <c r="B111" s="1" t="s">
        <v>692</v>
      </c>
      <c r="C111" s="1" t="s">
        <v>605</v>
      </c>
    </row>
    <row r="112" spans="2:3" x14ac:dyDescent="0.2">
      <c r="B112" s="1" t="s">
        <v>693</v>
      </c>
      <c r="C112" s="1" t="s">
        <v>605</v>
      </c>
    </row>
    <row r="113" spans="2:3" x14ac:dyDescent="0.2">
      <c r="B113" s="1" t="s">
        <v>694</v>
      </c>
      <c r="C113" s="1" t="s">
        <v>605</v>
      </c>
    </row>
    <row r="114" spans="2:3" x14ac:dyDescent="0.2">
      <c r="B114" s="1" t="s">
        <v>695</v>
      </c>
      <c r="C114" s="1" t="s">
        <v>605</v>
      </c>
    </row>
    <row r="115" spans="2:3" x14ac:dyDescent="0.2">
      <c r="B115" s="1" t="s">
        <v>696</v>
      </c>
      <c r="C115" s="1" t="s">
        <v>611</v>
      </c>
    </row>
    <row r="116" spans="2:3" x14ac:dyDescent="0.2">
      <c r="B116" s="1" t="s">
        <v>697</v>
      </c>
      <c r="C116" s="1" t="s">
        <v>611</v>
      </c>
    </row>
    <row r="117" spans="2:3" x14ac:dyDescent="0.2">
      <c r="B117" s="1" t="s">
        <v>698</v>
      </c>
      <c r="C117" s="1" t="s">
        <v>611</v>
      </c>
    </row>
    <row r="118" spans="2:3" x14ac:dyDescent="0.2">
      <c r="B118" s="1" t="s">
        <v>699</v>
      </c>
      <c r="C118" s="1" t="s">
        <v>611</v>
      </c>
    </row>
    <row r="119" spans="2:3" x14ac:dyDescent="0.2">
      <c r="B119" s="1" t="s">
        <v>700</v>
      </c>
      <c r="C119" s="1" t="s">
        <v>611</v>
      </c>
    </row>
    <row r="120" spans="2:3" x14ac:dyDescent="0.2">
      <c r="B120" s="1" t="s">
        <v>701</v>
      </c>
      <c r="C120" s="1" t="s">
        <v>611</v>
      </c>
    </row>
    <row r="121" spans="2:3" x14ac:dyDescent="0.2">
      <c r="B121" s="1" t="s">
        <v>702</v>
      </c>
      <c r="C121" s="1" t="s">
        <v>611</v>
      </c>
    </row>
    <row r="122" spans="2:3" x14ac:dyDescent="0.2">
      <c r="B122" s="1" t="s">
        <v>703</v>
      </c>
      <c r="C122" s="1" t="s">
        <v>611</v>
      </c>
    </row>
    <row r="123" spans="2:3" x14ac:dyDescent="0.2">
      <c r="B123" s="1" t="s">
        <v>704</v>
      </c>
      <c r="C123" s="1" t="s">
        <v>611</v>
      </c>
    </row>
    <row r="124" spans="2:3" x14ac:dyDescent="0.2">
      <c r="B124" s="1" t="s">
        <v>705</v>
      </c>
      <c r="C124" s="1" t="s">
        <v>611</v>
      </c>
    </row>
    <row r="125" spans="2:3" x14ac:dyDescent="0.2">
      <c r="B125" s="1" t="s">
        <v>706</v>
      </c>
      <c r="C125" s="1" t="s">
        <v>611</v>
      </c>
    </row>
    <row r="126" spans="2:3" x14ac:dyDescent="0.2">
      <c r="B126" s="1" t="s">
        <v>707</v>
      </c>
      <c r="C126" s="1" t="s">
        <v>611</v>
      </c>
    </row>
    <row r="127" spans="2:3" x14ac:dyDescent="0.2">
      <c r="B127" s="1" t="s">
        <v>708</v>
      </c>
      <c r="C127" s="1" t="s">
        <v>611</v>
      </c>
    </row>
    <row r="128" spans="2:3" x14ac:dyDescent="0.2">
      <c r="B128" s="1" t="s">
        <v>709</v>
      </c>
      <c r="C128" s="1" t="s">
        <v>611</v>
      </c>
    </row>
    <row r="129" spans="2:3" x14ac:dyDescent="0.2">
      <c r="B129" s="1" t="s">
        <v>710</v>
      </c>
      <c r="C129" s="1" t="s">
        <v>611</v>
      </c>
    </row>
    <row r="130" spans="2:3" x14ac:dyDescent="0.2">
      <c r="B130" s="1" t="s">
        <v>711</v>
      </c>
      <c r="C130" s="1" t="s">
        <v>611</v>
      </c>
    </row>
    <row r="131" spans="2:3" x14ac:dyDescent="0.2">
      <c r="B131" s="1" t="s">
        <v>712</v>
      </c>
      <c r="C131" s="1" t="s">
        <v>611</v>
      </c>
    </row>
    <row r="132" spans="2:3" x14ac:dyDescent="0.2">
      <c r="B132" s="1" t="s">
        <v>713</v>
      </c>
      <c r="C132" s="1" t="s">
        <v>611</v>
      </c>
    </row>
    <row r="133" spans="2:3" x14ac:dyDescent="0.2">
      <c r="B133" s="1" t="s">
        <v>714</v>
      </c>
      <c r="C133" s="1" t="s">
        <v>611</v>
      </c>
    </row>
    <row r="134" spans="2:3" x14ac:dyDescent="0.2">
      <c r="B134" s="1" t="s">
        <v>715</v>
      </c>
      <c r="C134" s="1" t="s">
        <v>611</v>
      </c>
    </row>
    <row r="135" spans="2:3" x14ac:dyDescent="0.2">
      <c r="B135" s="1" t="s">
        <v>716</v>
      </c>
      <c r="C135" s="1" t="s">
        <v>644</v>
      </c>
    </row>
    <row r="136" spans="2:3" x14ac:dyDescent="0.2">
      <c r="B136" s="1" t="s">
        <v>717</v>
      </c>
      <c r="C136" s="1" t="s">
        <v>644</v>
      </c>
    </row>
    <row r="137" spans="2:3" x14ac:dyDescent="0.2">
      <c r="B137" s="1" t="s">
        <v>718</v>
      </c>
      <c r="C137" s="1" t="s">
        <v>644</v>
      </c>
    </row>
    <row r="138" spans="2:3" x14ac:dyDescent="0.2">
      <c r="B138" s="1" t="s">
        <v>719</v>
      </c>
      <c r="C138" s="1" t="s">
        <v>644</v>
      </c>
    </row>
    <row r="139" spans="2:3" x14ac:dyDescent="0.2">
      <c r="B139" s="1" t="s">
        <v>720</v>
      </c>
      <c r="C139" s="1" t="s">
        <v>644</v>
      </c>
    </row>
    <row r="140" spans="2:3" x14ac:dyDescent="0.2">
      <c r="B140" s="1" t="s">
        <v>721</v>
      </c>
      <c r="C140" s="1" t="s">
        <v>644</v>
      </c>
    </row>
    <row r="141" spans="2:3" x14ac:dyDescent="0.2">
      <c r="B141" s="1" t="s">
        <v>722</v>
      </c>
      <c r="C141" s="1" t="s">
        <v>644</v>
      </c>
    </row>
    <row r="142" spans="2:3" x14ac:dyDescent="0.2">
      <c r="B142" s="1" t="s">
        <v>723</v>
      </c>
      <c r="C142" s="1" t="s">
        <v>644</v>
      </c>
    </row>
    <row r="143" spans="2:3" x14ac:dyDescent="0.2">
      <c r="B143" s="1" t="s">
        <v>724</v>
      </c>
      <c r="C143" s="1" t="s">
        <v>644</v>
      </c>
    </row>
    <row r="144" spans="2:3" x14ac:dyDescent="0.2">
      <c r="B144" s="1" t="s">
        <v>725</v>
      </c>
      <c r="C144" s="1" t="s">
        <v>644</v>
      </c>
    </row>
    <row r="145" spans="2:3" x14ac:dyDescent="0.2">
      <c r="B145" s="1" t="s">
        <v>726</v>
      </c>
      <c r="C145" s="1" t="s">
        <v>644</v>
      </c>
    </row>
    <row r="146" spans="2:3" x14ac:dyDescent="0.2">
      <c r="B146" s="1" t="s">
        <v>727</v>
      </c>
      <c r="C146" s="1" t="s">
        <v>618</v>
      </c>
    </row>
    <row r="147" spans="2:3" x14ac:dyDescent="0.2">
      <c r="B147" s="1" t="s">
        <v>728</v>
      </c>
      <c r="C147" s="1" t="s">
        <v>618</v>
      </c>
    </row>
    <row r="148" spans="2:3" x14ac:dyDescent="0.2">
      <c r="B148" s="1" t="s">
        <v>729</v>
      </c>
      <c r="C148" s="1" t="s">
        <v>618</v>
      </c>
    </row>
    <row r="149" spans="2:3" x14ac:dyDescent="0.2">
      <c r="B149" s="1" t="s">
        <v>730</v>
      </c>
      <c r="C149" s="1" t="s">
        <v>618</v>
      </c>
    </row>
    <row r="150" spans="2:3" x14ac:dyDescent="0.2">
      <c r="B150" s="1" t="s">
        <v>731</v>
      </c>
      <c r="C150" s="1" t="s">
        <v>618</v>
      </c>
    </row>
    <row r="151" spans="2:3" x14ac:dyDescent="0.2">
      <c r="B151" s="1" t="s">
        <v>732</v>
      </c>
      <c r="C151" s="1" t="s">
        <v>618</v>
      </c>
    </row>
    <row r="152" spans="2:3" x14ac:dyDescent="0.2">
      <c r="B152" s="1" t="s">
        <v>733</v>
      </c>
      <c r="C152" s="1" t="s">
        <v>618</v>
      </c>
    </row>
    <row r="153" spans="2:3" x14ac:dyDescent="0.2">
      <c r="B153" s="1" t="s">
        <v>734</v>
      </c>
      <c r="C153" s="1" t="s">
        <v>618</v>
      </c>
    </row>
    <row r="154" spans="2:3" x14ac:dyDescent="0.2">
      <c r="B154" s="1" t="s">
        <v>735</v>
      </c>
      <c r="C154" s="1" t="s">
        <v>618</v>
      </c>
    </row>
    <row r="155" spans="2:3" x14ac:dyDescent="0.2">
      <c r="B155" s="1" t="s">
        <v>736</v>
      </c>
      <c r="C155" s="1" t="s">
        <v>618</v>
      </c>
    </row>
    <row r="156" spans="2:3" x14ac:dyDescent="0.2">
      <c r="B156" s="1" t="s">
        <v>737</v>
      </c>
      <c r="C156" s="1" t="s">
        <v>618</v>
      </c>
    </row>
    <row r="157" spans="2:3" x14ac:dyDescent="0.2">
      <c r="B157" s="1" t="s">
        <v>738</v>
      </c>
      <c r="C157" s="1" t="s">
        <v>618</v>
      </c>
    </row>
    <row r="158" spans="2:3" x14ac:dyDescent="0.2">
      <c r="B158" s="1" t="s">
        <v>739</v>
      </c>
      <c r="C158" s="1" t="s">
        <v>618</v>
      </c>
    </row>
    <row r="159" spans="2:3" x14ac:dyDescent="0.2">
      <c r="B159" s="1" t="s">
        <v>740</v>
      </c>
      <c r="C159" s="1" t="s">
        <v>618</v>
      </c>
    </row>
    <row r="160" spans="2:3" x14ac:dyDescent="0.2">
      <c r="B160" s="1" t="s">
        <v>741</v>
      </c>
      <c r="C160" s="1" t="s">
        <v>618</v>
      </c>
    </row>
    <row r="161" spans="2:3" x14ac:dyDescent="0.2">
      <c r="B161" s="1" t="s">
        <v>742</v>
      </c>
      <c r="C161" s="1" t="s">
        <v>618</v>
      </c>
    </row>
    <row r="162" spans="2:3" x14ac:dyDescent="0.2">
      <c r="B162" s="1" t="s">
        <v>743</v>
      </c>
      <c r="C162" s="1" t="s">
        <v>618</v>
      </c>
    </row>
    <row r="163" spans="2:3" x14ac:dyDescent="0.2">
      <c r="B163" s="1" t="s">
        <v>744</v>
      </c>
      <c r="C163" s="1" t="s">
        <v>618</v>
      </c>
    </row>
    <row r="164" spans="2:3" x14ac:dyDescent="0.2">
      <c r="B164" s="1" t="s">
        <v>745</v>
      </c>
      <c r="C164" s="1" t="s">
        <v>618</v>
      </c>
    </row>
    <row r="165" spans="2:3" x14ac:dyDescent="0.2">
      <c r="B165" s="1" t="s">
        <v>746</v>
      </c>
      <c r="C165" s="1" t="s">
        <v>618</v>
      </c>
    </row>
    <row r="166" spans="2:3" x14ac:dyDescent="0.2">
      <c r="B166" s="1" t="s">
        <v>747</v>
      </c>
      <c r="C166" s="1" t="s">
        <v>618</v>
      </c>
    </row>
    <row r="167" spans="2:3" x14ac:dyDescent="0.2">
      <c r="B167" s="1" t="s">
        <v>748</v>
      </c>
      <c r="C167" s="1" t="s">
        <v>618</v>
      </c>
    </row>
    <row r="168" spans="2:3" x14ac:dyDescent="0.2">
      <c r="B168" s="1" t="s">
        <v>749</v>
      </c>
      <c r="C168" s="1" t="s">
        <v>618</v>
      </c>
    </row>
    <row r="169" spans="2:3" x14ac:dyDescent="0.2">
      <c r="B169" s="1" t="s">
        <v>750</v>
      </c>
      <c r="C169" s="1" t="s">
        <v>618</v>
      </c>
    </row>
    <row r="170" spans="2:3" x14ac:dyDescent="0.2">
      <c r="B170" s="1" t="s">
        <v>751</v>
      </c>
      <c r="C170" s="1" t="s">
        <v>618</v>
      </c>
    </row>
    <row r="171" spans="2:3" x14ac:dyDescent="0.2">
      <c r="B171" s="1" t="s">
        <v>752</v>
      </c>
      <c r="C171" s="1" t="s">
        <v>618</v>
      </c>
    </row>
    <row r="172" spans="2:3" x14ac:dyDescent="0.2">
      <c r="B172" s="1" t="s">
        <v>753</v>
      </c>
      <c r="C172" s="1" t="s">
        <v>618</v>
      </c>
    </row>
    <row r="173" spans="2:3" x14ac:dyDescent="0.2">
      <c r="B173" s="1" t="s">
        <v>754</v>
      </c>
      <c r="C173" s="1" t="s">
        <v>618</v>
      </c>
    </row>
    <row r="174" spans="2:3" x14ac:dyDescent="0.2">
      <c r="B174" s="1" t="s">
        <v>755</v>
      </c>
      <c r="C174" s="1" t="s">
        <v>618</v>
      </c>
    </row>
    <row r="175" spans="2:3" x14ac:dyDescent="0.2">
      <c r="B175" s="1" t="s">
        <v>756</v>
      </c>
      <c r="C175" s="1" t="s">
        <v>618</v>
      </c>
    </row>
    <row r="176" spans="2:3" x14ac:dyDescent="0.2">
      <c r="B176" s="1" t="s">
        <v>757</v>
      </c>
      <c r="C176" s="1" t="s">
        <v>618</v>
      </c>
    </row>
    <row r="177" spans="2:3" x14ac:dyDescent="0.2">
      <c r="B177" s="1" t="s">
        <v>758</v>
      </c>
      <c r="C177" s="1" t="s">
        <v>618</v>
      </c>
    </row>
    <row r="178" spans="2:3" x14ac:dyDescent="0.2">
      <c r="B178" s="1" t="s">
        <v>759</v>
      </c>
      <c r="C178" s="1" t="s">
        <v>618</v>
      </c>
    </row>
    <row r="179" spans="2:3" x14ac:dyDescent="0.2">
      <c r="B179" s="1" t="s">
        <v>760</v>
      </c>
      <c r="C179" s="1" t="s">
        <v>618</v>
      </c>
    </row>
    <row r="180" spans="2:3" x14ac:dyDescent="0.2">
      <c r="B180" s="1" t="s">
        <v>761</v>
      </c>
      <c r="C180" s="1" t="s">
        <v>618</v>
      </c>
    </row>
    <row r="181" spans="2:3" x14ac:dyDescent="0.2">
      <c r="B181" s="1" t="s">
        <v>762</v>
      </c>
      <c r="C181" s="1" t="s">
        <v>618</v>
      </c>
    </row>
    <row r="182" spans="2:3" x14ac:dyDescent="0.2">
      <c r="B182" s="1" t="s">
        <v>763</v>
      </c>
      <c r="C182" s="1" t="s">
        <v>618</v>
      </c>
    </row>
    <row r="183" spans="2:3" x14ac:dyDescent="0.2">
      <c r="B183" s="1" t="s">
        <v>764</v>
      </c>
      <c r="C183" s="1" t="s">
        <v>618</v>
      </c>
    </row>
    <row r="184" spans="2:3" x14ac:dyDescent="0.2">
      <c r="B184" s="1" t="s">
        <v>765</v>
      </c>
      <c r="C184" s="1" t="s">
        <v>618</v>
      </c>
    </row>
    <row r="185" spans="2:3" x14ac:dyDescent="0.2">
      <c r="B185" s="1" t="s">
        <v>766</v>
      </c>
      <c r="C185" s="1" t="s">
        <v>618</v>
      </c>
    </row>
    <row r="186" spans="2:3" x14ac:dyDescent="0.2">
      <c r="B186" s="1" t="s">
        <v>767</v>
      </c>
      <c r="C186" s="1" t="s">
        <v>618</v>
      </c>
    </row>
    <row r="187" spans="2:3" x14ac:dyDescent="0.2">
      <c r="B187" s="1" t="s">
        <v>768</v>
      </c>
      <c r="C187" s="1" t="s">
        <v>618</v>
      </c>
    </row>
    <row r="188" spans="2:3" x14ac:dyDescent="0.2">
      <c r="B188" s="1" t="s">
        <v>769</v>
      </c>
      <c r="C188" s="1" t="s">
        <v>618</v>
      </c>
    </row>
    <row r="189" spans="2:3" x14ac:dyDescent="0.2">
      <c r="B189" s="1" t="s">
        <v>770</v>
      </c>
      <c r="C189" s="1" t="s">
        <v>618</v>
      </c>
    </row>
    <row r="190" spans="2:3" x14ac:dyDescent="0.2">
      <c r="B190" s="1" t="s">
        <v>771</v>
      </c>
      <c r="C190" s="1" t="s">
        <v>618</v>
      </c>
    </row>
    <row r="191" spans="2:3" x14ac:dyDescent="0.2">
      <c r="B191" s="1" t="s">
        <v>772</v>
      </c>
      <c r="C191" s="1" t="s">
        <v>618</v>
      </c>
    </row>
    <row r="192" spans="2:3" x14ac:dyDescent="0.2">
      <c r="B192" s="1" t="s">
        <v>773</v>
      </c>
      <c r="C192" s="1" t="s">
        <v>618</v>
      </c>
    </row>
    <row r="193" spans="2:3" x14ac:dyDescent="0.2">
      <c r="B193" s="1" t="s">
        <v>774</v>
      </c>
      <c r="C193" s="1" t="s">
        <v>618</v>
      </c>
    </row>
    <row r="194" spans="2:3" x14ac:dyDescent="0.2">
      <c r="B194" s="1" t="s">
        <v>775</v>
      </c>
      <c r="C194" s="1" t="s">
        <v>618</v>
      </c>
    </row>
    <row r="195" spans="2:3" x14ac:dyDescent="0.2">
      <c r="B195" s="1" t="s">
        <v>776</v>
      </c>
      <c r="C195" s="1" t="s">
        <v>618</v>
      </c>
    </row>
    <row r="196" spans="2:3" x14ac:dyDescent="0.2">
      <c r="B196" s="1" t="s">
        <v>777</v>
      </c>
      <c r="C196" s="1" t="s">
        <v>618</v>
      </c>
    </row>
    <row r="197" spans="2:3" x14ac:dyDescent="0.2">
      <c r="B197" s="1" t="s">
        <v>778</v>
      </c>
      <c r="C197" s="1" t="s">
        <v>779</v>
      </c>
    </row>
    <row r="198" spans="2:3" x14ac:dyDescent="0.2">
      <c r="B198" s="1" t="s">
        <v>780</v>
      </c>
      <c r="C198" s="1" t="s">
        <v>779</v>
      </c>
    </row>
    <row r="199" spans="2:3" x14ac:dyDescent="0.2">
      <c r="B199" s="1" t="s">
        <v>781</v>
      </c>
      <c r="C199" s="1" t="s">
        <v>779</v>
      </c>
    </row>
    <row r="200" spans="2:3" x14ac:dyDescent="0.2">
      <c r="B200" s="1" t="s">
        <v>782</v>
      </c>
      <c r="C200" s="1" t="s">
        <v>779</v>
      </c>
    </row>
    <row r="201" spans="2:3" x14ac:dyDescent="0.2">
      <c r="B201" s="1" t="s">
        <v>783</v>
      </c>
      <c r="C201" s="1" t="s">
        <v>779</v>
      </c>
    </row>
    <row r="202" spans="2:3" x14ac:dyDescent="0.2">
      <c r="B202" s="1" t="s">
        <v>784</v>
      </c>
      <c r="C202" s="1" t="s">
        <v>779</v>
      </c>
    </row>
    <row r="203" spans="2:3" x14ac:dyDescent="0.2">
      <c r="B203" s="1" t="s">
        <v>785</v>
      </c>
      <c r="C203" s="1" t="s">
        <v>779</v>
      </c>
    </row>
    <row r="204" spans="2:3" x14ac:dyDescent="0.2">
      <c r="B204" s="1" t="s">
        <v>786</v>
      </c>
      <c r="C204" s="1" t="s">
        <v>779</v>
      </c>
    </row>
    <row r="205" spans="2:3" x14ac:dyDescent="0.2">
      <c r="B205" s="1" t="s">
        <v>787</v>
      </c>
      <c r="C205" s="1" t="s">
        <v>779</v>
      </c>
    </row>
    <row r="206" spans="2:3" x14ac:dyDescent="0.2">
      <c r="B206" s="1" t="s">
        <v>788</v>
      </c>
      <c r="C206" s="1" t="s">
        <v>779</v>
      </c>
    </row>
    <row r="207" spans="2:3" x14ac:dyDescent="0.2">
      <c r="B207" s="1" t="s">
        <v>789</v>
      </c>
      <c r="C207" s="1" t="s">
        <v>779</v>
      </c>
    </row>
    <row r="208" spans="2:3" x14ac:dyDescent="0.2">
      <c r="B208" s="1" t="s">
        <v>790</v>
      </c>
      <c r="C208" s="1" t="s">
        <v>779</v>
      </c>
    </row>
    <row r="209" spans="2:3" x14ac:dyDescent="0.2">
      <c r="B209" s="1" t="s">
        <v>791</v>
      </c>
      <c r="C209" s="1" t="s">
        <v>779</v>
      </c>
    </row>
    <row r="210" spans="2:3" x14ac:dyDescent="0.2">
      <c r="B210" s="1" t="s">
        <v>792</v>
      </c>
      <c r="C210" s="1" t="s">
        <v>779</v>
      </c>
    </row>
    <row r="211" spans="2:3" x14ac:dyDescent="0.2">
      <c r="B211" s="1" t="s">
        <v>793</v>
      </c>
      <c r="C211" s="1" t="s">
        <v>779</v>
      </c>
    </row>
    <row r="212" spans="2:3" x14ac:dyDescent="0.2">
      <c r="B212" s="1" t="s">
        <v>794</v>
      </c>
      <c r="C212" s="1" t="s">
        <v>779</v>
      </c>
    </row>
    <row r="213" spans="2:3" x14ac:dyDescent="0.2">
      <c r="B213" s="1" t="s">
        <v>795</v>
      </c>
      <c r="C213" s="1" t="s">
        <v>779</v>
      </c>
    </row>
    <row r="214" spans="2:3" x14ac:dyDescent="0.2">
      <c r="B214" s="1" t="s">
        <v>796</v>
      </c>
      <c r="C214" s="1" t="s">
        <v>779</v>
      </c>
    </row>
    <row r="215" spans="2:3" x14ac:dyDescent="0.2">
      <c r="B215" s="1" t="s">
        <v>797</v>
      </c>
      <c r="C215" s="1" t="s">
        <v>779</v>
      </c>
    </row>
    <row r="216" spans="2:3" x14ac:dyDescent="0.2">
      <c r="B216" s="1" t="s">
        <v>798</v>
      </c>
      <c r="C216" s="1" t="s">
        <v>779</v>
      </c>
    </row>
    <row r="217" spans="2:3" x14ac:dyDescent="0.2">
      <c r="B217" s="1" t="s">
        <v>799</v>
      </c>
      <c r="C217" s="1" t="s">
        <v>779</v>
      </c>
    </row>
    <row r="218" spans="2:3" x14ac:dyDescent="0.2">
      <c r="B218" s="1" t="s">
        <v>800</v>
      </c>
      <c r="C218" s="1" t="s">
        <v>779</v>
      </c>
    </row>
    <row r="219" spans="2:3" x14ac:dyDescent="0.2">
      <c r="B219" s="1" t="s">
        <v>801</v>
      </c>
      <c r="C219" s="1" t="s">
        <v>779</v>
      </c>
    </row>
    <row r="220" spans="2:3" x14ac:dyDescent="0.2">
      <c r="B220" s="1" t="s">
        <v>802</v>
      </c>
      <c r="C220" s="1" t="s">
        <v>779</v>
      </c>
    </row>
    <row r="221" spans="2:3" x14ac:dyDescent="0.2">
      <c r="B221" s="1" t="s">
        <v>803</v>
      </c>
      <c r="C221" s="1" t="s">
        <v>779</v>
      </c>
    </row>
    <row r="222" spans="2:3" x14ac:dyDescent="0.2">
      <c r="B222" s="1" t="s">
        <v>804</v>
      </c>
      <c r="C222" s="1" t="s">
        <v>629</v>
      </c>
    </row>
    <row r="223" spans="2:3" x14ac:dyDescent="0.2">
      <c r="B223" s="1" t="s">
        <v>805</v>
      </c>
      <c r="C223" s="1" t="s">
        <v>629</v>
      </c>
    </row>
    <row r="224" spans="2:3" x14ac:dyDescent="0.2">
      <c r="B224" s="1" t="s">
        <v>806</v>
      </c>
      <c r="C224" s="1" t="s">
        <v>629</v>
      </c>
    </row>
    <row r="225" spans="2:3" x14ac:dyDescent="0.2">
      <c r="B225" s="1" t="s">
        <v>807</v>
      </c>
      <c r="C225" s="1" t="s">
        <v>629</v>
      </c>
    </row>
    <row r="226" spans="2:3" x14ac:dyDescent="0.2">
      <c r="B226" s="1" t="s">
        <v>808</v>
      </c>
      <c r="C226" s="1" t="s">
        <v>629</v>
      </c>
    </row>
    <row r="227" spans="2:3" x14ac:dyDescent="0.2">
      <c r="B227" s="1" t="s">
        <v>809</v>
      </c>
      <c r="C227" s="1" t="s">
        <v>629</v>
      </c>
    </row>
    <row r="228" spans="2:3" x14ac:dyDescent="0.2">
      <c r="B228" s="1" t="s">
        <v>810</v>
      </c>
      <c r="C228" s="1" t="s">
        <v>629</v>
      </c>
    </row>
    <row r="229" spans="2:3" x14ac:dyDescent="0.2">
      <c r="B229" s="1" t="s">
        <v>811</v>
      </c>
      <c r="C229" s="1" t="s">
        <v>629</v>
      </c>
    </row>
    <row r="230" spans="2:3" x14ac:dyDescent="0.2">
      <c r="B230" s="1" t="s">
        <v>812</v>
      </c>
      <c r="C230" s="1" t="s">
        <v>629</v>
      </c>
    </row>
    <row r="231" spans="2:3" x14ac:dyDescent="0.2">
      <c r="B231" s="1" t="s">
        <v>813</v>
      </c>
      <c r="C231" s="1" t="s">
        <v>629</v>
      </c>
    </row>
    <row r="232" spans="2:3" x14ac:dyDescent="0.2">
      <c r="B232" s="1" t="s">
        <v>814</v>
      </c>
      <c r="C232" s="1" t="s">
        <v>629</v>
      </c>
    </row>
    <row r="233" spans="2:3" x14ac:dyDescent="0.2">
      <c r="B233" s="1" t="s">
        <v>815</v>
      </c>
      <c r="C233" s="1" t="s">
        <v>629</v>
      </c>
    </row>
    <row r="234" spans="2:3" x14ac:dyDescent="0.2">
      <c r="B234" s="1" t="s">
        <v>816</v>
      </c>
      <c r="C234" s="1" t="s">
        <v>629</v>
      </c>
    </row>
    <row r="235" spans="2:3" x14ac:dyDescent="0.2">
      <c r="B235" s="1" t="s">
        <v>817</v>
      </c>
      <c r="C235" s="1" t="s">
        <v>629</v>
      </c>
    </row>
    <row r="236" spans="2:3" x14ac:dyDescent="0.2">
      <c r="B236" s="1" t="s">
        <v>818</v>
      </c>
      <c r="C236" s="1" t="s">
        <v>629</v>
      </c>
    </row>
    <row r="237" spans="2:3" x14ac:dyDescent="0.2">
      <c r="B237" s="1" t="s">
        <v>819</v>
      </c>
      <c r="C237" s="1" t="s">
        <v>629</v>
      </c>
    </row>
    <row r="238" spans="2:3" x14ac:dyDescent="0.2">
      <c r="B238" s="1" t="s">
        <v>820</v>
      </c>
      <c r="C238" s="1" t="s">
        <v>629</v>
      </c>
    </row>
    <row r="239" spans="2:3" x14ac:dyDescent="0.2">
      <c r="B239" s="1" t="s">
        <v>821</v>
      </c>
      <c r="C239" s="1" t="s">
        <v>629</v>
      </c>
    </row>
    <row r="240" spans="2:3" x14ac:dyDescent="0.2">
      <c r="B240" s="1" t="s">
        <v>822</v>
      </c>
      <c r="C240" s="1" t="s">
        <v>648</v>
      </c>
    </row>
    <row r="241" spans="2:3" x14ac:dyDescent="0.2">
      <c r="B241" s="1" t="s">
        <v>823</v>
      </c>
      <c r="C241" s="1" t="s">
        <v>648</v>
      </c>
    </row>
    <row r="242" spans="2:3" x14ac:dyDescent="0.2">
      <c r="B242" s="1" t="s">
        <v>824</v>
      </c>
      <c r="C242" s="1" t="s">
        <v>648</v>
      </c>
    </row>
    <row r="243" spans="2:3" x14ac:dyDescent="0.2">
      <c r="B243" s="1" t="s">
        <v>825</v>
      </c>
      <c r="C243" s="1" t="s">
        <v>648</v>
      </c>
    </row>
    <row r="244" spans="2:3" x14ac:dyDescent="0.2">
      <c r="B244" s="1" t="s">
        <v>826</v>
      </c>
      <c r="C244" s="1" t="s">
        <v>648</v>
      </c>
    </row>
    <row r="245" spans="2:3" x14ac:dyDescent="0.2">
      <c r="B245" s="1" t="s">
        <v>827</v>
      </c>
      <c r="C245" s="1" t="s">
        <v>648</v>
      </c>
    </row>
    <row r="246" spans="2:3" x14ac:dyDescent="0.2">
      <c r="B246" s="1" t="s">
        <v>828</v>
      </c>
      <c r="C246" s="1" t="s">
        <v>648</v>
      </c>
    </row>
    <row r="247" spans="2:3" x14ac:dyDescent="0.2">
      <c r="B247" s="1" t="s">
        <v>829</v>
      </c>
      <c r="C247" s="1" t="s">
        <v>648</v>
      </c>
    </row>
    <row r="248" spans="2:3" x14ac:dyDescent="0.2">
      <c r="B248" s="1" t="s">
        <v>830</v>
      </c>
      <c r="C248" s="1" t="s">
        <v>648</v>
      </c>
    </row>
    <row r="249" spans="2:3" x14ac:dyDescent="0.2">
      <c r="B249" s="1" t="s">
        <v>831</v>
      </c>
      <c r="C249" s="1" t="s">
        <v>648</v>
      </c>
    </row>
    <row r="250" spans="2:3" x14ac:dyDescent="0.2">
      <c r="B250" s="1" t="s">
        <v>832</v>
      </c>
      <c r="C250" s="1" t="s">
        <v>648</v>
      </c>
    </row>
    <row r="251" spans="2:3" x14ac:dyDescent="0.2">
      <c r="B251" s="1" t="s">
        <v>833</v>
      </c>
      <c r="C251" s="1" t="s">
        <v>648</v>
      </c>
    </row>
    <row r="252" spans="2:3" x14ac:dyDescent="0.2">
      <c r="B252" s="1" t="s">
        <v>834</v>
      </c>
      <c r="C252" s="1" t="s">
        <v>648</v>
      </c>
    </row>
    <row r="253" spans="2:3" x14ac:dyDescent="0.2">
      <c r="B253" s="1" t="s">
        <v>835</v>
      </c>
      <c r="C253" s="1" t="s">
        <v>648</v>
      </c>
    </row>
    <row r="254" spans="2:3" x14ac:dyDescent="0.2">
      <c r="B254" s="1" t="s">
        <v>836</v>
      </c>
      <c r="C254" s="1" t="s">
        <v>648</v>
      </c>
    </row>
    <row r="255" spans="2:3" x14ac:dyDescent="0.2">
      <c r="B255" s="1" t="s">
        <v>837</v>
      </c>
      <c r="C255" s="1" t="s">
        <v>648</v>
      </c>
    </row>
    <row r="256" spans="2:3" x14ac:dyDescent="0.2">
      <c r="B256" s="1" t="s">
        <v>838</v>
      </c>
      <c r="C256" s="1" t="s">
        <v>648</v>
      </c>
    </row>
    <row r="257" spans="2:3" x14ac:dyDescent="0.2">
      <c r="B257" s="1" t="s">
        <v>839</v>
      </c>
      <c r="C257" s="1" t="s">
        <v>648</v>
      </c>
    </row>
    <row r="258" spans="2:3" x14ac:dyDescent="0.2">
      <c r="B258" s="1" t="s">
        <v>840</v>
      </c>
      <c r="C258" s="1" t="s">
        <v>648</v>
      </c>
    </row>
    <row r="259" spans="2:3" x14ac:dyDescent="0.2">
      <c r="B259" s="1" t="s">
        <v>841</v>
      </c>
      <c r="C259" s="1" t="s">
        <v>648</v>
      </c>
    </row>
    <row r="260" spans="2:3" x14ac:dyDescent="0.2">
      <c r="B260" s="1" t="s">
        <v>842</v>
      </c>
      <c r="C260" s="1" t="s">
        <v>648</v>
      </c>
    </row>
    <row r="261" spans="2:3" x14ac:dyDescent="0.2">
      <c r="B261" s="1" t="s">
        <v>843</v>
      </c>
      <c r="C261" s="1" t="s">
        <v>648</v>
      </c>
    </row>
    <row r="262" spans="2:3" x14ac:dyDescent="0.2">
      <c r="B262" s="1" t="s">
        <v>844</v>
      </c>
      <c r="C262" s="1" t="s">
        <v>648</v>
      </c>
    </row>
    <row r="263" spans="2:3" x14ac:dyDescent="0.2">
      <c r="B263" s="1" t="s">
        <v>845</v>
      </c>
      <c r="C263" s="1" t="s">
        <v>648</v>
      </c>
    </row>
    <row r="264" spans="2:3" x14ac:dyDescent="0.2">
      <c r="B264" s="1" t="s">
        <v>846</v>
      </c>
      <c r="C264" s="1" t="s">
        <v>648</v>
      </c>
    </row>
    <row r="265" spans="2:3" x14ac:dyDescent="0.2">
      <c r="B265" s="1" t="s">
        <v>847</v>
      </c>
      <c r="C265" s="1" t="s">
        <v>648</v>
      </c>
    </row>
    <row r="266" spans="2:3" x14ac:dyDescent="0.2">
      <c r="B266" s="1" t="s">
        <v>848</v>
      </c>
      <c r="C266" s="1" t="s">
        <v>648</v>
      </c>
    </row>
    <row r="267" spans="2:3" x14ac:dyDescent="0.2">
      <c r="B267" s="1" t="s">
        <v>849</v>
      </c>
      <c r="C267" s="1" t="s">
        <v>638</v>
      </c>
    </row>
    <row r="268" spans="2:3" x14ac:dyDescent="0.2">
      <c r="B268" s="1" t="s">
        <v>850</v>
      </c>
      <c r="C268" s="1" t="s">
        <v>638</v>
      </c>
    </row>
    <row r="269" spans="2:3" x14ac:dyDescent="0.2">
      <c r="B269" s="1" t="s">
        <v>851</v>
      </c>
      <c r="C269" s="1" t="s">
        <v>638</v>
      </c>
    </row>
    <row r="270" spans="2:3" x14ac:dyDescent="0.2">
      <c r="B270" s="1" t="s">
        <v>852</v>
      </c>
      <c r="C270" s="1" t="s">
        <v>638</v>
      </c>
    </row>
    <row r="271" spans="2:3" x14ac:dyDescent="0.2">
      <c r="B271" s="1" t="s">
        <v>853</v>
      </c>
      <c r="C271" s="1" t="s">
        <v>638</v>
      </c>
    </row>
    <row r="272" spans="2:3" x14ac:dyDescent="0.2">
      <c r="B272" s="1" t="s">
        <v>854</v>
      </c>
      <c r="C272" s="1" t="s">
        <v>638</v>
      </c>
    </row>
    <row r="273" spans="2:3" x14ac:dyDescent="0.2">
      <c r="B273" s="1" t="s">
        <v>855</v>
      </c>
      <c r="C273" s="1" t="s">
        <v>638</v>
      </c>
    </row>
    <row r="274" spans="2:3" x14ac:dyDescent="0.2">
      <c r="B274" s="1" t="s">
        <v>856</v>
      </c>
      <c r="C274" s="1" t="s">
        <v>638</v>
      </c>
    </row>
    <row r="275" spans="2:3" x14ac:dyDescent="0.2">
      <c r="B275" s="1" t="s">
        <v>857</v>
      </c>
      <c r="C275" s="1" t="s">
        <v>638</v>
      </c>
    </row>
    <row r="276" spans="2:3" x14ac:dyDescent="0.2">
      <c r="B276" s="1" t="s">
        <v>858</v>
      </c>
      <c r="C276" s="1" t="s">
        <v>638</v>
      </c>
    </row>
    <row r="277" spans="2:3" x14ac:dyDescent="0.2">
      <c r="B277" s="1" t="s">
        <v>859</v>
      </c>
      <c r="C277" s="1" t="s">
        <v>638</v>
      </c>
    </row>
    <row r="278" spans="2:3" x14ac:dyDescent="0.2">
      <c r="B278" s="1" t="s">
        <v>860</v>
      </c>
      <c r="C278" s="1" t="s">
        <v>638</v>
      </c>
    </row>
    <row r="279" spans="2:3" x14ac:dyDescent="0.2">
      <c r="B279" s="1" t="s">
        <v>861</v>
      </c>
      <c r="C279" s="1" t="s">
        <v>638</v>
      </c>
    </row>
    <row r="280" spans="2:3" x14ac:dyDescent="0.2">
      <c r="B280" s="1" t="s">
        <v>862</v>
      </c>
      <c r="C280" s="1" t="s">
        <v>638</v>
      </c>
    </row>
    <row r="281" spans="2:3" x14ac:dyDescent="0.2">
      <c r="B281" s="1" t="s">
        <v>863</v>
      </c>
      <c r="C281" s="1" t="s">
        <v>638</v>
      </c>
    </row>
    <row r="282" spans="2:3" x14ac:dyDescent="0.2">
      <c r="B282" s="1" t="s">
        <v>864</v>
      </c>
      <c r="C282" s="1" t="s">
        <v>638</v>
      </c>
    </row>
    <row r="283" spans="2:3" x14ac:dyDescent="0.2">
      <c r="B283" s="1" t="s">
        <v>865</v>
      </c>
      <c r="C283" s="1" t="s">
        <v>638</v>
      </c>
    </row>
    <row r="284" spans="2:3" x14ac:dyDescent="0.2">
      <c r="B284" s="1" t="s">
        <v>866</v>
      </c>
      <c r="C284" s="1" t="s">
        <v>638</v>
      </c>
    </row>
    <row r="285" spans="2:3" x14ac:dyDescent="0.2">
      <c r="B285" s="1" t="s">
        <v>867</v>
      </c>
      <c r="C285" s="1" t="s">
        <v>638</v>
      </c>
    </row>
    <row r="286" spans="2:3" x14ac:dyDescent="0.2">
      <c r="B286" s="1" t="s">
        <v>868</v>
      </c>
      <c r="C286" s="1" t="s">
        <v>638</v>
      </c>
    </row>
    <row r="287" spans="2:3" x14ac:dyDescent="0.2">
      <c r="B287" s="1" t="s">
        <v>869</v>
      </c>
      <c r="C287" s="1" t="s">
        <v>638</v>
      </c>
    </row>
    <row r="288" spans="2:3" x14ac:dyDescent="0.2">
      <c r="B288" s="1" t="s">
        <v>870</v>
      </c>
      <c r="C288" s="1" t="s">
        <v>603</v>
      </c>
    </row>
    <row r="289" spans="2:3" x14ac:dyDescent="0.2">
      <c r="B289" s="1" t="s">
        <v>871</v>
      </c>
      <c r="C289" s="1" t="s">
        <v>603</v>
      </c>
    </row>
    <row r="290" spans="2:3" x14ac:dyDescent="0.2">
      <c r="B290" s="1" t="s">
        <v>872</v>
      </c>
      <c r="C290" s="1" t="s">
        <v>603</v>
      </c>
    </row>
    <row r="291" spans="2:3" x14ac:dyDescent="0.2">
      <c r="B291" s="1" t="s">
        <v>873</v>
      </c>
      <c r="C291" s="1" t="s">
        <v>603</v>
      </c>
    </row>
    <row r="292" spans="2:3" x14ac:dyDescent="0.2">
      <c r="B292" s="1" t="s">
        <v>874</v>
      </c>
      <c r="C292" s="1" t="s">
        <v>603</v>
      </c>
    </row>
    <row r="293" spans="2:3" x14ac:dyDescent="0.2">
      <c r="B293" s="1" t="s">
        <v>875</v>
      </c>
      <c r="C293" s="1" t="s">
        <v>603</v>
      </c>
    </row>
    <row r="294" spans="2:3" x14ac:dyDescent="0.2">
      <c r="B294" s="1" t="s">
        <v>876</v>
      </c>
      <c r="C294" s="1" t="s">
        <v>603</v>
      </c>
    </row>
    <row r="295" spans="2:3" x14ac:dyDescent="0.2">
      <c r="B295" s="1" t="s">
        <v>877</v>
      </c>
      <c r="C295" s="1" t="s">
        <v>603</v>
      </c>
    </row>
    <row r="296" spans="2:3" x14ac:dyDescent="0.2">
      <c r="B296" s="1" t="s">
        <v>878</v>
      </c>
      <c r="C296" s="1" t="s">
        <v>603</v>
      </c>
    </row>
    <row r="297" spans="2:3" x14ac:dyDescent="0.2">
      <c r="B297" s="1" t="s">
        <v>879</v>
      </c>
      <c r="C297" s="1" t="s">
        <v>603</v>
      </c>
    </row>
    <row r="298" spans="2:3" x14ac:dyDescent="0.2">
      <c r="B298" s="1" t="s">
        <v>880</v>
      </c>
      <c r="C298" s="1" t="s">
        <v>603</v>
      </c>
    </row>
    <row r="299" spans="2:3" x14ac:dyDescent="0.2">
      <c r="B299" s="1" t="s">
        <v>881</v>
      </c>
      <c r="C299" s="1" t="s">
        <v>603</v>
      </c>
    </row>
    <row r="300" spans="2:3" x14ac:dyDescent="0.2">
      <c r="B300" s="1" t="s">
        <v>882</v>
      </c>
      <c r="C300" s="1" t="s">
        <v>603</v>
      </c>
    </row>
    <row r="301" spans="2:3" x14ac:dyDescent="0.2">
      <c r="B301" s="1" t="s">
        <v>883</v>
      </c>
      <c r="C301" s="1" t="s">
        <v>603</v>
      </c>
    </row>
    <row r="302" spans="2:3" x14ac:dyDescent="0.2">
      <c r="B302" s="1" t="s">
        <v>884</v>
      </c>
      <c r="C302" s="1" t="s">
        <v>603</v>
      </c>
    </row>
    <row r="303" spans="2:3" x14ac:dyDescent="0.2">
      <c r="B303" s="1" t="s">
        <v>885</v>
      </c>
      <c r="C303" s="1" t="s">
        <v>603</v>
      </c>
    </row>
    <row r="304" spans="2:3" x14ac:dyDescent="0.2">
      <c r="B304" s="1" t="s">
        <v>886</v>
      </c>
      <c r="C304" s="1" t="s">
        <v>603</v>
      </c>
    </row>
    <row r="305" spans="2:3" x14ac:dyDescent="0.2">
      <c r="B305" s="1" t="s">
        <v>887</v>
      </c>
      <c r="C305" s="1" t="s">
        <v>603</v>
      </c>
    </row>
    <row r="306" spans="2:3" x14ac:dyDescent="0.2">
      <c r="B306" s="1" t="s">
        <v>888</v>
      </c>
      <c r="C306" s="1" t="s">
        <v>603</v>
      </c>
    </row>
    <row r="307" spans="2:3" x14ac:dyDescent="0.2">
      <c r="B307" s="1" t="s">
        <v>889</v>
      </c>
      <c r="C307" s="1" t="s">
        <v>603</v>
      </c>
    </row>
    <row r="308" spans="2:3" x14ac:dyDescent="0.2">
      <c r="B308" s="1" t="s">
        <v>890</v>
      </c>
      <c r="C308" s="1" t="s">
        <v>603</v>
      </c>
    </row>
    <row r="309" spans="2:3" x14ac:dyDescent="0.2">
      <c r="B309" s="1" t="s">
        <v>891</v>
      </c>
      <c r="C309" s="1" t="s">
        <v>603</v>
      </c>
    </row>
    <row r="310" spans="2:3" x14ac:dyDescent="0.2">
      <c r="B310" s="1" t="s">
        <v>892</v>
      </c>
      <c r="C310" s="1" t="s">
        <v>603</v>
      </c>
    </row>
    <row r="311" spans="2:3" x14ac:dyDescent="0.2">
      <c r="B311" s="1" t="s">
        <v>893</v>
      </c>
      <c r="C311" s="1" t="s">
        <v>603</v>
      </c>
    </row>
    <row r="312" spans="2:3" x14ac:dyDescent="0.2">
      <c r="B312" s="1" t="s">
        <v>894</v>
      </c>
      <c r="C312" s="1" t="s">
        <v>603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tabColor indexed="44"/>
    <pageSetUpPr fitToPage="1"/>
  </sheetPr>
  <dimension ref="A1:K55"/>
  <sheetViews>
    <sheetView showGridLines="0" workbookViewId="0">
      <pane xSplit="1" ySplit="5" topLeftCell="B21" activePane="bottomRight" state="frozen"/>
      <selection sqref="A1:K1"/>
      <selection pane="topRight" sqref="A1:K1"/>
      <selection pane="bottomLeft" sqref="A1:K1"/>
      <selection pane="bottomRight" activeCell="S29" sqref="S29"/>
    </sheetView>
  </sheetViews>
  <sheetFormatPr defaultRowHeight="12.75" x14ac:dyDescent="0.25"/>
  <cols>
    <col min="1" max="1" width="30.7109375" style="20" customWidth="1"/>
    <col min="2" max="11" width="8.7109375" style="20" customWidth="1"/>
    <col min="12" max="12" width="7.7109375" style="20" customWidth="1"/>
    <col min="13" max="16384" width="9.140625" style="20"/>
  </cols>
  <sheetData>
    <row r="1" spans="1:11" ht="13.5" x14ac:dyDescent="0.25">
      <c r="A1" s="436" t="str">
        <f>MEABsum&amp;" - "&amp;Date</f>
        <v>Greater Tzaneen Development Agency - Table E1 Adjustments Budget Summary - 29/02/2016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38.25" x14ac:dyDescent="0.25">
      <c r="A2" s="289" t="str">
        <f>desc</f>
        <v>Description</v>
      </c>
      <c r="B2" s="433" t="str">
        <f>Head9</f>
        <v>Budget Year 2015/16</v>
      </c>
      <c r="C2" s="434"/>
      <c r="D2" s="434"/>
      <c r="E2" s="434"/>
      <c r="F2" s="434"/>
      <c r="G2" s="434"/>
      <c r="H2" s="434"/>
      <c r="I2" s="435"/>
      <c r="J2" s="21" t="str">
        <f>Head10</f>
        <v>Budget Year +1 2016/17</v>
      </c>
      <c r="K2" s="83" t="str">
        <f>Head11</f>
        <v>Budget Year +2 2017/18</v>
      </c>
    </row>
    <row r="3" spans="1:11" ht="25.5" x14ac:dyDescent="0.25">
      <c r="A3" s="290"/>
      <c r="B3" s="82" t="str">
        <f>Head6</f>
        <v>Original Budget</v>
      </c>
      <c r="C3" s="82" t="str">
        <f>Head54</f>
        <v>Prior Adjusted</v>
      </c>
      <c r="D3" s="82" t="str">
        <f>Head59</f>
        <v>Downward adjusts</v>
      </c>
      <c r="E3" s="82" t="str">
        <f>Head58</f>
        <v>Parent muni.</v>
      </c>
      <c r="F3" s="82" t="str">
        <f>Head53</f>
        <v>Unfore. Unavoid.</v>
      </c>
      <c r="G3" s="82" t="str">
        <f>Head50</f>
        <v>Other Adjusts.</v>
      </c>
      <c r="H3" s="105" t="str">
        <f>Head56</f>
        <v>Total Adjusts.</v>
      </c>
      <c r="I3" s="105" t="str">
        <f>Head7</f>
        <v>Adjusted Budget</v>
      </c>
      <c r="J3" s="105" t="str">
        <f>Head7</f>
        <v>Adjusted Budget</v>
      </c>
      <c r="K3" s="161" t="str">
        <f>Head7</f>
        <v>Adjusted Budget</v>
      </c>
    </row>
    <row r="4" spans="1:11" x14ac:dyDescent="0.25">
      <c r="A4" s="290"/>
      <c r="B4" s="128"/>
      <c r="C4" s="128">
        <v>1</v>
      </c>
      <c r="D4" s="128">
        <v>2</v>
      </c>
      <c r="E4" s="128">
        <v>3</v>
      </c>
      <c r="F4" s="128">
        <v>4</v>
      </c>
      <c r="G4" s="128">
        <v>5</v>
      </c>
      <c r="H4" s="128">
        <v>6</v>
      </c>
      <c r="I4" s="128">
        <v>7</v>
      </c>
      <c r="J4" s="128"/>
      <c r="K4" s="129"/>
    </row>
    <row r="5" spans="1:11" x14ac:dyDescent="0.25">
      <c r="A5" s="124" t="s">
        <v>193</v>
      </c>
      <c r="B5" s="126" t="s">
        <v>107</v>
      </c>
      <c r="C5" s="179" t="s">
        <v>316</v>
      </c>
      <c r="D5" s="126" t="s">
        <v>77</v>
      </c>
      <c r="E5" s="126" t="s">
        <v>34</v>
      </c>
      <c r="F5" s="130" t="s">
        <v>133</v>
      </c>
      <c r="G5" s="130" t="s">
        <v>12</v>
      </c>
      <c r="H5" s="130" t="s">
        <v>13</v>
      </c>
      <c r="I5" s="130" t="s">
        <v>14</v>
      </c>
      <c r="J5" s="134"/>
      <c r="K5" s="171"/>
    </row>
    <row r="6" spans="1:11" ht="12.75" customHeight="1" x14ac:dyDescent="0.25">
      <c r="A6" s="172" t="s">
        <v>255</v>
      </c>
      <c r="B6" s="63"/>
      <c r="C6" s="63"/>
      <c r="D6" s="63"/>
      <c r="E6" s="63"/>
      <c r="F6" s="63"/>
      <c r="G6" s="63"/>
      <c r="H6" s="63"/>
      <c r="I6" s="63"/>
      <c r="J6" s="63"/>
      <c r="K6" s="104"/>
    </row>
    <row r="7" spans="1:11" ht="12.75" customHeight="1" x14ac:dyDescent="0.25">
      <c r="A7" s="173" t="s">
        <v>387</v>
      </c>
      <c r="B7" s="29">
        <f>'E2-FinPerf'!C7+'E2-FinPerf'!C8</f>
        <v>0</v>
      </c>
      <c r="C7" s="29">
        <f>'E2-FinPerf'!D7+'E2-FinPerf'!D8</f>
        <v>0</v>
      </c>
      <c r="D7" s="29">
        <f>'E2-FinPerf'!E7+'E2-FinPerf'!E8</f>
        <v>0</v>
      </c>
      <c r="E7" s="29">
        <f>'E2-FinPerf'!F7+'E2-FinPerf'!F8</f>
        <v>0</v>
      </c>
      <c r="F7" s="29">
        <f>'E2-FinPerf'!G7+'E2-FinPerf'!G8</f>
        <v>0</v>
      </c>
      <c r="G7" s="29">
        <f>'E2-FinPerf'!H7+'E2-FinPerf'!H8</f>
        <v>0</v>
      </c>
      <c r="H7" s="29">
        <f>SUM(D7:G7)</f>
        <v>0</v>
      </c>
      <c r="I7" s="29">
        <f>IF(C7=0,B7+H7,C7+H7)</f>
        <v>0</v>
      </c>
      <c r="J7" s="29">
        <f>'E2-FinPerf'!K7+'E2-FinPerf'!K8</f>
        <v>0</v>
      </c>
      <c r="K7" s="85">
        <f>'E2-FinPerf'!L7+'E2-FinPerf'!L8</f>
        <v>0</v>
      </c>
    </row>
    <row r="8" spans="1:11" ht="12.75" customHeight="1" x14ac:dyDescent="0.25">
      <c r="A8" s="173" t="s">
        <v>419</v>
      </c>
      <c r="B8" s="29">
        <f>SUM('E2-FinPerf'!C9:C13)</f>
        <v>0</v>
      </c>
      <c r="C8" s="29">
        <f>SUM('E2-FinPerf'!D9:D13)</f>
        <v>0</v>
      </c>
      <c r="D8" s="29">
        <f>SUM('E2-FinPerf'!E9:E13)</f>
        <v>0</v>
      </c>
      <c r="E8" s="29">
        <f>SUM('E2-FinPerf'!F9:F13)</f>
        <v>0</v>
      </c>
      <c r="F8" s="29">
        <f>SUM('E2-FinPerf'!G9:G13)</f>
        <v>0</v>
      </c>
      <c r="G8" s="29">
        <f>SUM('E2-FinPerf'!H9:H13)</f>
        <v>0</v>
      </c>
      <c r="H8" s="29">
        <f>SUM(D8:G8)</f>
        <v>0</v>
      </c>
      <c r="I8" s="29">
        <f>IF(C8=0,B8+H8,C8+H8)</f>
        <v>0</v>
      </c>
      <c r="J8" s="29">
        <f>SUM('E2-FinPerf'!K9:K13)</f>
        <v>0</v>
      </c>
      <c r="K8" s="85">
        <f>SUM('E2-FinPerf'!L9:L13)</f>
        <v>0</v>
      </c>
    </row>
    <row r="9" spans="1:11" ht="12.75" customHeight="1" x14ac:dyDescent="0.25">
      <c r="A9" s="173" t="s">
        <v>56</v>
      </c>
      <c r="B9" s="29">
        <f>'E2-FinPerf'!C15</f>
        <v>0</v>
      </c>
      <c r="C9" s="29">
        <f>'E2-FinPerf'!D15</f>
        <v>0</v>
      </c>
      <c r="D9" s="29">
        <f>'E2-FinPerf'!E15</f>
        <v>0</v>
      </c>
      <c r="E9" s="29">
        <f>'E2-FinPerf'!F15</f>
        <v>0</v>
      </c>
      <c r="F9" s="29">
        <f>'E2-FinPerf'!G15</f>
        <v>0</v>
      </c>
      <c r="G9" s="29">
        <f>'E2-FinPerf'!H15</f>
        <v>0</v>
      </c>
      <c r="H9" s="29">
        <f>SUM(D9:G9)</f>
        <v>0</v>
      </c>
      <c r="I9" s="29">
        <f>IF(C9=0,B9+H9,C9+H9)</f>
        <v>0</v>
      </c>
      <c r="J9" s="29">
        <f>'E2-FinPerf'!K15</f>
        <v>0</v>
      </c>
      <c r="K9" s="85">
        <f>'E2-FinPerf'!L15</f>
        <v>0</v>
      </c>
    </row>
    <row r="10" spans="1:11" ht="12.75" customHeight="1" x14ac:dyDescent="0.25">
      <c r="A10" s="258" t="s">
        <v>895</v>
      </c>
      <c r="B10" s="29">
        <f>'E2-FinPerf'!C21</f>
        <v>0</v>
      </c>
      <c r="C10" s="29">
        <f>'E2-FinPerf'!D21</f>
        <v>0</v>
      </c>
      <c r="D10" s="29">
        <f>'E2-FinPerf'!E21</f>
        <v>0</v>
      </c>
      <c r="E10" s="29">
        <f>'E2-FinPerf'!F21</f>
        <v>0</v>
      </c>
      <c r="F10" s="29">
        <f>'E2-FinPerf'!G21</f>
        <v>0</v>
      </c>
      <c r="G10" s="29">
        <f>'E2-FinPerf'!H21</f>
        <v>0</v>
      </c>
      <c r="H10" s="29">
        <f>SUM(D10:G10)</f>
        <v>0</v>
      </c>
      <c r="I10" s="29">
        <f>IF(C10=0,B10+H10,C10+H10)</f>
        <v>0</v>
      </c>
      <c r="J10" s="29">
        <f>'E2-FinPerf'!K21</f>
        <v>0</v>
      </c>
      <c r="K10" s="85">
        <f>'E2-FinPerf'!L21</f>
        <v>0</v>
      </c>
    </row>
    <row r="11" spans="1:11" ht="12.75" customHeight="1" x14ac:dyDescent="0.25">
      <c r="A11" s="173" t="s">
        <v>54</v>
      </c>
      <c r="B11" s="29">
        <f>'E2-FinPerf'!C14+'E2-FinPerf'!C16+'E2-FinPerf'!C17+'E2-FinPerf'!C18+'E2-FinPerf'!C19+'E2-FinPerf'!C20+'E2-FinPerf'!C22+'E2-FinPerf'!C23</f>
        <v>5500000</v>
      </c>
      <c r="C11" s="29">
        <f>'E2-FinPerf'!D14+'E2-FinPerf'!D16+'E2-FinPerf'!D17+'E2-FinPerf'!D18+'E2-FinPerf'!D19+'E2-FinPerf'!D20+'E2-FinPerf'!D22+'E2-FinPerf'!D23</f>
        <v>0</v>
      </c>
      <c r="D11" s="29">
        <f>'E2-FinPerf'!E14+'E2-FinPerf'!E16+'E2-FinPerf'!E17+'E2-FinPerf'!E18+'E2-FinPerf'!E19+'E2-FinPerf'!E20+'E2-FinPerf'!E22+'E2-FinPerf'!E23</f>
        <v>0</v>
      </c>
      <c r="E11" s="29">
        <f>'E2-FinPerf'!F14+'E2-FinPerf'!F16+'E2-FinPerf'!F17+'E2-FinPerf'!F18+'E2-FinPerf'!F19+'E2-FinPerf'!F20+'E2-FinPerf'!F22+'E2-FinPerf'!F23</f>
        <v>842903</v>
      </c>
      <c r="F11" s="29">
        <f>'E2-FinPerf'!G14+'E2-FinPerf'!G16+'E2-FinPerf'!G17+'E2-FinPerf'!G18+'E2-FinPerf'!G19+'E2-FinPerf'!G20+'E2-FinPerf'!G22+'E2-FinPerf'!G23</f>
        <v>0</v>
      </c>
      <c r="G11" s="29">
        <f>'E2-FinPerf'!H14+'E2-FinPerf'!H16+'E2-FinPerf'!H17+'E2-FinPerf'!H18+'E2-FinPerf'!H19+'E2-FinPerf'!H20+'E2-FinPerf'!H22+'E2-FinPerf'!H23</f>
        <v>0</v>
      </c>
      <c r="H11" s="29">
        <f>SUM(D11:G11)</f>
        <v>842903</v>
      </c>
      <c r="I11" s="29">
        <f>IF(C11=0,B11+H11,C11+H11)</f>
        <v>6342903</v>
      </c>
      <c r="J11" s="29">
        <f>'E2-FinPerf'!K14+'E2-FinPerf'!K16+'E2-FinPerf'!K17+'E2-FinPerf'!K18+'E2-FinPerf'!K19+'E2-FinPerf'!K20+'E2-FinPerf'!K22+'E2-FinPerf'!K23</f>
        <v>8800000</v>
      </c>
      <c r="K11" s="85">
        <f>'E2-FinPerf'!L14+'E2-FinPerf'!L16+'E2-FinPerf'!L17+'E2-FinPerf'!L18+'E2-FinPerf'!L19+'E2-FinPerf'!L20+'E2-FinPerf'!L22+'E2-FinPerf'!L23</f>
        <v>9940000</v>
      </c>
    </row>
    <row r="12" spans="1:11" ht="24.75" customHeight="1" x14ac:dyDescent="0.25">
      <c r="A12" s="325" t="s">
        <v>529</v>
      </c>
      <c r="B12" s="298">
        <f t="shared" ref="B12:K12" si="0">SUM(B7:B11)</f>
        <v>5500000</v>
      </c>
      <c r="C12" s="298">
        <f t="shared" si="0"/>
        <v>0</v>
      </c>
      <c r="D12" s="298">
        <f t="shared" si="0"/>
        <v>0</v>
      </c>
      <c r="E12" s="298">
        <f t="shared" si="0"/>
        <v>842903</v>
      </c>
      <c r="F12" s="298">
        <f t="shared" si="0"/>
        <v>0</v>
      </c>
      <c r="G12" s="298">
        <f t="shared" si="0"/>
        <v>0</v>
      </c>
      <c r="H12" s="298">
        <f t="shared" si="0"/>
        <v>842903</v>
      </c>
      <c r="I12" s="298">
        <f t="shared" si="0"/>
        <v>6342903</v>
      </c>
      <c r="J12" s="298">
        <f t="shared" si="0"/>
        <v>8800000</v>
      </c>
      <c r="K12" s="299">
        <f t="shared" si="0"/>
        <v>9940000</v>
      </c>
    </row>
    <row r="13" spans="1:11" ht="12.75" customHeight="1" x14ac:dyDescent="0.25">
      <c r="A13" s="173" t="s">
        <v>33</v>
      </c>
      <c r="B13" s="30">
        <f>'E2-FinPerf'!C27</f>
        <v>3559969.47</v>
      </c>
      <c r="C13" s="29">
        <f>'E2-FinPerf'!D27</f>
        <v>0</v>
      </c>
      <c r="D13" s="29">
        <f>'E2-FinPerf'!E27</f>
        <v>0</v>
      </c>
      <c r="E13" s="29">
        <f>'E2-FinPerf'!F27</f>
        <v>0</v>
      </c>
      <c r="F13" s="29">
        <f>'E2-FinPerf'!G27</f>
        <v>0</v>
      </c>
      <c r="G13" s="29">
        <f>'E2-FinPerf'!H27</f>
        <v>0</v>
      </c>
      <c r="H13" s="29">
        <f t="shared" ref="H13:H19" si="1">SUM(D13:G13)</f>
        <v>0</v>
      </c>
      <c r="I13" s="29">
        <f t="shared" ref="I13:I19" si="2">IF(C13=0,B13+H13,C13+H13)</f>
        <v>3559969.47</v>
      </c>
      <c r="J13" s="29">
        <f>'E2-FinPerf'!K27</f>
        <v>4244392.9800000004</v>
      </c>
      <c r="K13" s="85">
        <f>'E2-FinPerf'!L27</f>
        <v>5127448.76</v>
      </c>
    </row>
    <row r="14" spans="1:11" ht="12.75" customHeight="1" x14ac:dyDescent="0.25">
      <c r="A14" s="173" t="s">
        <v>0</v>
      </c>
      <c r="B14" s="30">
        <f>'E2-FinPerf'!C28</f>
        <v>328000</v>
      </c>
      <c r="C14" s="29">
        <f>'E2-FinPerf'!D28</f>
        <v>0</v>
      </c>
      <c r="D14" s="29">
        <f>'E2-FinPerf'!E28</f>
        <v>0</v>
      </c>
      <c r="E14" s="29">
        <f>'E2-FinPerf'!F28</f>
        <v>664474</v>
      </c>
      <c r="F14" s="29">
        <f>'E2-FinPerf'!G28</f>
        <v>0</v>
      </c>
      <c r="G14" s="29">
        <f>'E2-FinPerf'!H28</f>
        <v>0</v>
      </c>
      <c r="H14" s="29">
        <f t="shared" si="1"/>
        <v>664474</v>
      </c>
      <c r="I14" s="29">
        <f t="shared" si="2"/>
        <v>992474</v>
      </c>
      <c r="J14" s="29">
        <f>'E2-FinPerf'!K28</f>
        <v>1247591.48</v>
      </c>
      <c r="K14" s="85">
        <f>'E2-FinPerf'!L28</f>
        <v>1429747.6</v>
      </c>
    </row>
    <row r="15" spans="1:11" ht="12.75" customHeight="1" x14ac:dyDescent="0.25">
      <c r="A15" s="173" t="s">
        <v>37</v>
      </c>
      <c r="B15" s="30">
        <f>'E2-FinPerf'!C29+'E2-FinPerf'!C30</f>
        <v>0</v>
      </c>
      <c r="C15" s="29">
        <f>'E2-FinPerf'!D29+'E2-FinPerf'!D30</f>
        <v>0</v>
      </c>
      <c r="D15" s="29">
        <f>'E2-FinPerf'!E29+'E2-FinPerf'!E30</f>
        <v>0</v>
      </c>
      <c r="E15" s="29">
        <f>'E2-FinPerf'!F29+'E2-FinPerf'!F30</f>
        <v>0</v>
      </c>
      <c r="F15" s="29">
        <f>'E2-FinPerf'!G29+'E2-FinPerf'!G30</f>
        <v>0</v>
      </c>
      <c r="G15" s="29">
        <f>'E2-FinPerf'!H29+'E2-FinPerf'!H30</f>
        <v>0</v>
      </c>
      <c r="H15" s="29">
        <f t="shared" si="1"/>
        <v>0</v>
      </c>
      <c r="I15" s="29">
        <f t="shared" si="2"/>
        <v>0</v>
      </c>
      <c r="J15" s="29">
        <f>'E2-FinPerf'!K29+'E2-FinPerf'!K30</f>
        <v>109091.44</v>
      </c>
      <c r="K15" s="85">
        <f>'E2-FinPerf'!L29+'E2-FinPerf'!L30</f>
        <v>122575.14</v>
      </c>
    </row>
    <row r="16" spans="1:11" ht="12.75" customHeight="1" x14ac:dyDescent="0.25">
      <c r="A16" s="173" t="s">
        <v>16</v>
      </c>
      <c r="B16" s="30">
        <f>'E2-FinPerf'!C31</f>
        <v>62000</v>
      </c>
      <c r="C16" s="29">
        <f>'E2-FinPerf'!D31</f>
        <v>0</v>
      </c>
      <c r="D16" s="29">
        <f>'E2-FinPerf'!E31</f>
        <v>0</v>
      </c>
      <c r="E16" s="29">
        <f>'E2-FinPerf'!F31</f>
        <v>0</v>
      </c>
      <c r="F16" s="29">
        <f>'E2-FinPerf'!G31</f>
        <v>0</v>
      </c>
      <c r="G16" s="29">
        <f>'E2-FinPerf'!H31</f>
        <v>0</v>
      </c>
      <c r="H16" s="29">
        <f t="shared" si="1"/>
        <v>0</v>
      </c>
      <c r="I16" s="29">
        <f t="shared" si="2"/>
        <v>62000</v>
      </c>
      <c r="J16" s="29">
        <f>'E2-FinPerf'!K31</f>
        <v>22578</v>
      </c>
      <c r="K16" s="85">
        <f>'E2-FinPerf'!L31</f>
        <v>25368.639999999999</v>
      </c>
    </row>
    <row r="17" spans="1:11" ht="12.75" customHeight="1" x14ac:dyDescent="0.25">
      <c r="A17" s="173" t="s">
        <v>55</v>
      </c>
      <c r="B17" s="30">
        <f>'E2-FinPerf'!C32+'E2-FinPerf'!C33</f>
        <v>21300</v>
      </c>
      <c r="C17" s="29">
        <f>'E2-FinPerf'!D32+'E2-FinPerf'!D33</f>
        <v>0</v>
      </c>
      <c r="D17" s="29">
        <f>'E2-FinPerf'!E32+'E2-FinPerf'!E33</f>
        <v>0</v>
      </c>
      <c r="E17" s="29">
        <f>'E2-FinPerf'!F32+'E2-FinPerf'!F33</f>
        <v>0</v>
      </c>
      <c r="F17" s="29">
        <f>'E2-FinPerf'!G32+'E2-FinPerf'!G33</f>
        <v>0</v>
      </c>
      <c r="G17" s="29">
        <f>'E2-FinPerf'!H32+'E2-FinPerf'!H33</f>
        <v>0</v>
      </c>
      <c r="H17" s="29">
        <f t="shared" si="1"/>
        <v>0</v>
      </c>
      <c r="I17" s="29">
        <f t="shared" si="2"/>
        <v>21300</v>
      </c>
      <c r="J17" s="29">
        <f>'E2-FinPerf'!K32+'E2-FinPerf'!K33</f>
        <v>0</v>
      </c>
      <c r="K17" s="85">
        <f>'E2-FinPerf'!L32+'E2-FinPerf'!L33</f>
        <v>0</v>
      </c>
    </row>
    <row r="18" spans="1:11" ht="12.75" customHeight="1" x14ac:dyDescent="0.25">
      <c r="A18" s="326" t="s">
        <v>530</v>
      </c>
      <c r="B18" s="30">
        <f>'E2-FinPerf'!C34</f>
        <v>406765</v>
      </c>
      <c r="C18" s="29">
        <f>'E2-FinPerf'!D35</f>
        <v>0</v>
      </c>
      <c r="D18" s="29">
        <f>'E2-FinPerf'!E35</f>
        <v>0</v>
      </c>
      <c r="E18" s="29">
        <f>'E2-FinPerf'!F35</f>
        <v>0</v>
      </c>
      <c r="F18" s="29">
        <f>'E2-FinPerf'!G35</f>
        <v>0</v>
      </c>
      <c r="G18" s="29">
        <f>'E2-FinPerf'!H35</f>
        <v>0</v>
      </c>
      <c r="H18" s="29">
        <f t="shared" si="1"/>
        <v>0</v>
      </c>
      <c r="I18" s="29">
        <f t="shared" si="2"/>
        <v>406765</v>
      </c>
      <c r="J18" s="29">
        <f>'E2-FinPerf'!K35</f>
        <v>0</v>
      </c>
      <c r="K18" s="85">
        <f>'E2-FinPerf'!L35</f>
        <v>0</v>
      </c>
    </row>
    <row r="19" spans="1:11" ht="12.75" customHeight="1" x14ac:dyDescent="0.25">
      <c r="A19" s="173" t="s">
        <v>2</v>
      </c>
      <c r="B19" s="30">
        <f>'E2-FinPerf'!C38-SUM('E1-Sum'!B13:B18)</f>
        <v>1119965.5300000003</v>
      </c>
      <c r="C19" s="29">
        <f>'E2-FinPerf'!D38-SUM('E1-Sum'!C13:C18)</f>
        <v>0</v>
      </c>
      <c r="D19" s="29">
        <f>'E2-FinPerf'!E38-SUM('E1-Sum'!D13:D18)</f>
        <v>0</v>
      </c>
      <c r="E19" s="29">
        <f>'E2-FinPerf'!F38-SUM('E1-Sum'!E13:E18)</f>
        <v>178430</v>
      </c>
      <c r="F19" s="29">
        <f>'E2-FinPerf'!G38-SUM('E1-Sum'!F13:F18)</f>
        <v>0</v>
      </c>
      <c r="G19" s="29">
        <f>'E2-FinPerf'!H38-SUM('E1-Sum'!G13:G18)</f>
        <v>0</v>
      </c>
      <c r="H19" s="29">
        <f t="shared" si="1"/>
        <v>178430</v>
      </c>
      <c r="I19" s="29">
        <f t="shared" si="2"/>
        <v>1298395.5300000003</v>
      </c>
      <c r="J19" s="29">
        <f>'E2-FinPerf'!K38-SUM('E1-Sum'!J13:J18)</f>
        <v>2941644.7999999998</v>
      </c>
      <c r="K19" s="85">
        <f>'E2-FinPerf'!L38-SUM('E1-Sum'!K13:K18)</f>
        <v>3229821.4800000004</v>
      </c>
    </row>
    <row r="20" spans="1:11" ht="12.75" customHeight="1" x14ac:dyDescent="0.25">
      <c r="A20" s="264" t="s">
        <v>46</v>
      </c>
      <c r="B20" s="48">
        <f t="shared" ref="B20:K20" si="3">SUM(B13:B19)</f>
        <v>5498000.0000000009</v>
      </c>
      <c r="C20" s="48">
        <f t="shared" si="3"/>
        <v>0</v>
      </c>
      <c r="D20" s="48">
        <f t="shared" si="3"/>
        <v>0</v>
      </c>
      <c r="E20" s="48">
        <f t="shared" si="3"/>
        <v>842904</v>
      </c>
      <c r="F20" s="48">
        <f t="shared" si="3"/>
        <v>0</v>
      </c>
      <c r="G20" s="48">
        <f t="shared" si="3"/>
        <v>0</v>
      </c>
      <c r="H20" s="48">
        <f t="shared" si="3"/>
        <v>842904</v>
      </c>
      <c r="I20" s="48">
        <f t="shared" si="3"/>
        <v>6340904.0000000009</v>
      </c>
      <c r="J20" s="48">
        <f t="shared" si="3"/>
        <v>8565298.7000000011</v>
      </c>
      <c r="K20" s="86">
        <f t="shared" si="3"/>
        <v>9934961.6199999992</v>
      </c>
    </row>
    <row r="21" spans="1:11" ht="12.75" customHeight="1" x14ac:dyDescent="0.25">
      <c r="A21" s="174" t="s">
        <v>47</v>
      </c>
      <c r="B21" s="33">
        <f t="shared" ref="B21:K21" si="4">B12-B20</f>
        <v>1999.9999999990687</v>
      </c>
      <c r="C21" s="33">
        <f t="shared" si="4"/>
        <v>0</v>
      </c>
      <c r="D21" s="33">
        <f t="shared" si="4"/>
        <v>0</v>
      </c>
      <c r="E21" s="33">
        <f t="shared" si="4"/>
        <v>-1</v>
      </c>
      <c r="F21" s="33">
        <f t="shared" si="4"/>
        <v>0</v>
      </c>
      <c r="G21" s="33">
        <f t="shared" si="4"/>
        <v>0</v>
      </c>
      <c r="H21" s="33">
        <f t="shared" si="4"/>
        <v>-1</v>
      </c>
      <c r="I21" s="33">
        <f t="shared" si="4"/>
        <v>1998.9999999990687</v>
      </c>
      <c r="J21" s="33">
        <f t="shared" si="4"/>
        <v>234701.29999999888</v>
      </c>
      <c r="K21" s="103">
        <f t="shared" si="4"/>
        <v>5038.3800000008196</v>
      </c>
    </row>
    <row r="22" spans="1:11" ht="12.75" customHeight="1" x14ac:dyDescent="0.25">
      <c r="A22" s="258" t="s">
        <v>414</v>
      </c>
      <c r="B22" s="33">
        <f>'E2-FinPerf'!C40</f>
        <v>0</v>
      </c>
      <c r="C22" s="33">
        <f>'E2-FinPerf'!D40</f>
        <v>0</v>
      </c>
      <c r="D22" s="33">
        <f>'E2-FinPerf'!E40</f>
        <v>0</v>
      </c>
      <c r="E22" s="33">
        <f>'E2-FinPerf'!F40</f>
        <v>0</v>
      </c>
      <c r="F22" s="33">
        <f>'E2-FinPerf'!G40</f>
        <v>0</v>
      </c>
      <c r="G22" s="33">
        <f>'E2-FinPerf'!H40</f>
        <v>0</v>
      </c>
      <c r="H22" s="33">
        <f>H13-H21</f>
        <v>1</v>
      </c>
      <c r="I22" s="29">
        <f>IF(C22=0,B22+H22,C22+H22)</f>
        <v>1</v>
      </c>
      <c r="J22" s="33">
        <f>'E2-FinPerf'!K40</f>
        <v>0</v>
      </c>
      <c r="K22" s="103">
        <f>'E2-FinPerf'!L40</f>
        <v>0</v>
      </c>
    </row>
    <row r="23" spans="1:11" ht="12.75" customHeight="1" x14ac:dyDescent="0.25">
      <c r="A23" s="258" t="s">
        <v>531</v>
      </c>
      <c r="B23" s="33">
        <f>'E2-FinPerf'!C41+'E2-FinPerf'!C42</f>
        <v>2000</v>
      </c>
      <c r="C23" s="33">
        <f>'E2-FinPerf'!D41+'E2-FinPerf'!D42</f>
        <v>0</v>
      </c>
      <c r="D23" s="33">
        <f>'E2-FinPerf'!E41+'E2-FinPerf'!E42</f>
        <v>0</v>
      </c>
      <c r="E23" s="33">
        <f>'E2-FinPerf'!F41+'E2-FinPerf'!F42</f>
        <v>0</v>
      </c>
      <c r="F23" s="33">
        <f>'E2-FinPerf'!G41+'E2-FinPerf'!G42</f>
        <v>0</v>
      </c>
      <c r="G23" s="33">
        <f>'E2-FinPerf'!H41+'E2-FinPerf'!H42</f>
        <v>0</v>
      </c>
      <c r="H23" s="33">
        <f>H14-H22</f>
        <v>664473</v>
      </c>
      <c r="I23" s="29">
        <f>IF(C23=0,B23+H23,C23+H23)</f>
        <v>666473</v>
      </c>
      <c r="J23" s="33">
        <f>'E2-FinPerf'!K41+'E2-FinPerf'!K42</f>
        <v>234701.3</v>
      </c>
      <c r="K23" s="103">
        <f>'E2-FinPerf'!L41+'E2-FinPerf'!L42</f>
        <v>5038.3900000000003</v>
      </c>
    </row>
    <row r="24" spans="1:11" ht="24.75" customHeight="1" x14ac:dyDescent="0.25">
      <c r="A24" s="259" t="s">
        <v>532</v>
      </c>
      <c r="B24" s="261">
        <f t="shared" ref="B24:G24" si="5">B21+SUM(B22:B23)</f>
        <v>3999.9999999990687</v>
      </c>
      <c r="C24" s="262">
        <f t="shared" si="5"/>
        <v>0</v>
      </c>
      <c r="D24" s="262">
        <f t="shared" si="5"/>
        <v>0</v>
      </c>
      <c r="E24" s="262">
        <f t="shared" si="5"/>
        <v>-1</v>
      </c>
      <c r="F24" s="262">
        <f t="shared" si="5"/>
        <v>0</v>
      </c>
      <c r="G24" s="262">
        <f t="shared" si="5"/>
        <v>0</v>
      </c>
      <c r="H24" s="262">
        <f>H21+SUM(H22:H23)</f>
        <v>664473</v>
      </c>
      <c r="I24" s="262">
        <f>I21+SUM(I22:I23)</f>
        <v>668472.99999999907</v>
      </c>
      <c r="J24" s="262">
        <f>J21+SUM(J22:J23)</f>
        <v>469402.59999999887</v>
      </c>
      <c r="K24" s="263">
        <f>K21+SUM(K22:K23)</f>
        <v>10076.770000000819</v>
      </c>
    </row>
    <row r="25" spans="1:11" ht="12.75" customHeight="1" x14ac:dyDescent="0.25">
      <c r="A25" s="427" t="s">
        <v>28</v>
      </c>
      <c r="B25" s="33">
        <f>'E2-FinPerf'!C44</f>
        <v>0</v>
      </c>
      <c r="C25" s="33">
        <f>'E2-FinPerf'!D44</f>
        <v>0</v>
      </c>
      <c r="D25" s="33">
        <f>'E2-FinPerf'!E44</f>
        <v>0</v>
      </c>
      <c r="E25" s="33">
        <f>'E2-FinPerf'!F44</f>
        <v>0</v>
      </c>
      <c r="F25" s="33">
        <f>'E2-FinPerf'!G44</f>
        <v>0</v>
      </c>
      <c r="G25" s="33">
        <f>'E2-FinPerf'!H44</f>
        <v>0</v>
      </c>
      <c r="H25" s="33">
        <f>H16-H24</f>
        <v>-664473</v>
      </c>
      <c r="I25" s="29">
        <f>IF(C25=0,B25+H25,C25+H25)</f>
        <v>-664473</v>
      </c>
      <c r="J25" s="33">
        <f>'E2-FinPerf'!K44</f>
        <v>0</v>
      </c>
      <c r="K25" s="103">
        <f>'E2-FinPerf'!L44</f>
        <v>0</v>
      </c>
    </row>
    <row r="26" spans="1:11" ht="12.75" customHeight="1" x14ac:dyDescent="0.25">
      <c r="A26" s="260" t="s">
        <v>358</v>
      </c>
      <c r="B26" s="31">
        <f t="shared" ref="B26:G26" si="6">B24-B25</f>
        <v>3999.9999999990687</v>
      </c>
      <c r="C26" s="31">
        <f t="shared" si="6"/>
        <v>0</v>
      </c>
      <c r="D26" s="31">
        <f t="shared" si="6"/>
        <v>0</v>
      </c>
      <c r="E26" s="31">
        <f t="shared" si="6"/>
        <v>-1</v>
      </c>
      <c r="F26" s="31">
        <f t="shared" si="6"/>
        <v>0</v>
      </c>
      <c r="G26" s="31">
        <f t="shared" si="6"/>
        <v>0</v>
      </c>
      <c r="H26" s="31">
        <f>H17-H25</f>
        <v>664473</v>
      </c>
      <c r="I26" s="31">
        <f>I17-I25</f>
        <v>685773</v>
      </c>
      <c r="J26" s="31">
        <f>J24-J25</f>
        <v>469402.59999999887</v>
      </c>
      <c r="K26" s="87">
        <f>K24-K25</f>
        <v>10076.770000000819</v>
      </c>
    </row>
    <row r="27" spans="1:11" ht="5.0999999999999996" customHeight="1" x14ac:dyDescent="0.25">
      <c r="A27" s="175"/>
      <c r="B27" s="67"/>
      <c r="C27" s="67"/>
      <c r="D27" s="67"/>
      <c r="E27" s="67"/>
      <c r="F27" s="67"/>
      <c r="G27" s="67"/>
      <c r="H27" s="67"/>
      <c r="I27" s="67"/>
      <c r="J27" s="67"/>
      <c r="K27" s="102"/>
    </row>
    <row r="28" spans="1:11" ht="12.75" customHeight="1" x14ac:dyDescent="0.25">
      <c r="A28" s="176" t="s">
        <v>386</v>
      </c>
      <c r="B28" s="65"/>
      <c r="C28" s="65"/>
      <c r="D28" s="65"/>
      <c r="E28" s="65"/>
      <c r="F28" s="65"/>
      <c r="G28" s="65"/>
      <c r="H28" s="65"/>
      <c r="I28" s="65"/>
      <c r="J28" s="65"/>
      <c r="K28" s="84"/>
    </row>
    <row r="29" spans="1:11" ht="12.75" customHeight="1" x14ac:dyDescent="0.25">
      <c r="A29" s="301" t="s">
        <v>117</v>
      </c>
      <c r="B29" s="29">
        <f>'E3-Capex'!C32</f>
        <v>0</v>
      </c>
      <c r="C29" s="29">
        <f>'E3-Capex'!D32</f>
        <v>0</v>
      </c>
      <c r="D29" s="29">
        <f>'E3-Capex'!E32</f>
        <v>0</v>
      </c>
      <c r="E29" s="29">
        <f>'E3-Capex'!F32</f>
        <v>0</v>
      </c>
      <c r="F29" s="29">
        <f>'E3-Capex'!G32</f>
        <v>0</v>
      </c>
      <c r="G29" s="29">
        <f>'E3-Capex'!H32</f>
        <v>0</v>
      </c>
      <c r="H29" s="29">
        <f>SUM(D29:G29)</f>
        <v>0</v>
      </c>
      <c r="I29" s="29">
        <f>IF(C29=0,B29+H29,C29+H29)</f>
        <v>0</v>
      </c>
      <c r="J29" s="29">
        <f>'E3-Capex'!K32</f>
        <v>0</v>
      </c>
      <c r="K29" s="85">
        <f>'E3-Capex'!L32</f>
        <v>0</v>
      </c>
    </row>
    <row r="30" spans="1:11" ht="12.75" customHeight="1" x14ac:dyDescent="0.25">
      <c r="A30" s="327" t="s">
        <v>414</v>
      </c>
      <c r="B30" s="29">
        <f>'E3-Capex'!C39</f>
        <v>0</v>
      </c>
      <c r="C30" s="29">
        <f>'E3-Capex'!D39</f>
        <v>0</v>
      </c>
      <c r="D30" s="29">
        <f>'E3-Capex'!E39</f>
        <v>0</v>
      </c>
      <c r="E30" s="29">
        <f>'E3-Capex'!F39</f>
        <v>0</v>
      </c>
      <c r="F30" s="29">
        <f>'E3-Capex'!G39</f>
        <v>0</v>
      </c>
      <c r="G30" s="29">
        <f>'E3-Capex'!H39</f>
        <v>0</v>
      </c>
      <c r="H30" s="29">
        <f>SUM(D30:G30)</f>
        <v>0</v>
      </c>
      <c r="I30" s="29">
        <f>IF(C30=0,B30+H30,C30+H30)</f>
        <v>0</v>
      </c>
      <c r="J30" s="29">
        <f>'E3-Capex'!K39</f>
        <v>0</v>
      </c>
      <c r="K30" s="85">
        <f>'E3-Capex'!L39</f>
        <v>0</v>
      </c>
    </row>
    <row r="31" spans="1:11" ht="12.75" customHeight="1" x14ac:dyDescent="0.25">
      <c r="A31" s="173" t="s">
        <v>35</v>
      </c>
      <c r="B31" s="29">
        <f>'E3-Capex'!C40</f>
        <v>0</v>
      </c>
      <c r="C31" s="29">
        <f>'E3-Capex'!D40</f>
        <v>0</v>
      </c>
      <c r="D31" s="29">
        <f>'E3-Capex'!E40</f>
        <v>0</v>
      </c>
      <c r="E31" s="29">
        <f>'E3-Capex'!F40</f>
        <v>0</v>
      </c>
      <c r="F31" s="29">
        <f>'E3-Capex'!G40</f>
        <v>0</v>
      </c>
      <c r="G31" s="29">
        <f>'E3-Capex'!H40</f>
        <v>0</v>
      </c>
      <c r="H31" s="29">
        <f>SUM(D31:G31)</f>
        <v>0</v>
      </c>
      <c r="I31" s="29">
        <f>IF(C31=0,B31+H31,C31+H31)</f>
        <v>0</v>
      </c>
      <c r="J31" s="29">
        <f>'E3-Capex'!K40</f>
        <v>0</v>
      </c>
      <c r="K31" s="85">
        <f>'E3-Capex'!L40</f>
        <v>0</v>
      </c>
    </row>
    <row r="32" spans="1:11" ht="12.75" customHeight="1" x14ac:dyDescent="0.25">
      <c r="A32" s="173" t="s">
        <v>273</v>
      </c>
      <c r="B32" s="29">
        <f>'E3-Capex'!C41</f>
        <v>0</v>
      </c>
      <c r="C32" s="29">
        <f>'E3-Capex'!D41</f>
        <v>0</v>
      </c>
      <c r="D32" s="29">
        <f>'E3-Capex'!E41</f>
        <v>0</v>
      </c>
      <c r="E32" s="29">
        <f>'E3-Capex'!F41</f>
        <v>0</v>
      </c>
      <c r="F32" s="29">
        <f>'E3-Capex'!G41</f>
        <v>0</v>
      </c>
      <c r="G32" s="29">
        <f>'E3-Capex'!H41</f>
        <v>0</v>
      </c>
      <c r="H32" s="29">
        <f>SUM(D32:G32)</f>
        <v>0</v>
      </c>
      <c r="I32" s="29">
        <f>IF(C32=0,B32+H32,C32+H32)</f>
        <v>0</v>
      </c>
      <c r="J32" s="29">
        <f>'E3-Capex'!K41</f>
        <v>0</v>
      </c>
      <c r="K32" s="85">
        <f>'E3-Capex'!L41</f>
        <v>0</v>
      </c>
    </row>
    <row r="33" spans="1:11" ht="12.75" customHeight="1" x14ac:dyDescent="0.25">
      <c r="A33" s="173" t="s">
        <v>32</v>
      </c>
      <c r="B33" s="29">
        <f>'E3-Capex'!C42</f>
        <v>0</v>
      </c>
      <c r="C33" s="29">
        <f>'E3-Capex'!D42</f>
        <v>0</v>
      </c>
      <c r="D33" s="29">
        <f>'E3-Capex'!E42</f>
        <v>0</v>
      </c>
      <c r="E33" s="29">
        <f>'E3-Capex'!F42</f>
        <v>0</v>
      </c>
      <c r="F33" s="29">
        <f>'E3-Capex'!G42</f>
        <v>0</v>
      </c>
      <c r="G33" s="29">
        <f>'E3-Capex'!H42</f>
        <v>0</v>
      </c>
      <c r="H33" s="29">
        <f>SUM(D33:G33)</f>
        <v>0</v>
      </c>
      <c r="I33" s="29">
        <f>IF(C33=0,B33+H33,C33+H33)</f>
        <v>0</v>
      </c>
      <c r="J33" s="29">
        <f>'E3-Capex'!K42</f>
        <v>0</v>
      </c>
      <c r="K33" s="85">
        <f>'E3-Capex'!L42</f>
        <v>0</v>
      </c>
    </row>
    <row r="34" spans="1:11" ht="12.75" customHeight="1" x14ac:dyDescent="0.25">
      <c r="A34" s="264" t="s">
        <v>103</v>
      </c>
      <c r="B34" s="33">
        <f t="shared" ref="B34:K34" si="7">SUM(B30:B33)</f>
        <v>0</v>
      </c>
      <c r="C34" s="33">
        <f t="shared" si="7"/>
        <v>0</v>
      </c>
      <c r="D34" s="33">
        <f t="shared" si="7"/>
        <v>0</v>
      </c>
      <c r="E34" s="33">
        <f t="shared" si="7"/>
        <v>0</v>
      </c>
      <c r="F34" s="33">
        <f t="shared" si="7"/>
        <v>0</v>
      </c>
      <c r="G34" s="33">
        <f t="shared" si="7"/>
        <v>0</v>
      </c>
      <c r="H34" s="33">
        <f t="shared" si="7"/>
        <v>0</v>
      </c>
      <c r="I34" s="33">
        <f t="shared" si="7"/>
        <v>0</v>
      </c>
      <c r="J34" s="33">
        <f t="shared" si="7"/>
        <v>0</v>
      </c>
      <c r="K34" s="103">
        <f t="shared" si="7"/>
        <v>0</v>
      </c>
    </row>
    <row r="35" spans="1:11" ht="5.0999999999999996" customHeight="1" x14ac:dyDescent="0.25">
      <c r="A35" s="177"/>
      <c r="B35" s="67"/>
      <c r="C35" s="67"/>
      <c r="D35" s="67"/>
      <c r="E35" s="67"/>
      <c r="F35" s="67"/>
      <c r="G35" s="67"/>
      <c r="H35" s="67"/>
      <c r="I35" s="67"/>
      <c r="J35" s="67"/>
      <c r="K35" s="102"/>
    </row>
    <row r="36" spans="1:11" ht="12.75" customHeight="1" x14ac:dyDescent="0.25">
      <c r="A36" s="176" t="s">
        <v>52</v>
      </c>
      <c r="B36" s="65"/>
      <c r="C36" s="65"/>
      <c r="D36" s="65"/>
      <c r="E36" s="65"/>
      <c r="F36" s="65"/>
      <c r="G36" s="65"/>
      <c r="H36" s="65"/>
      <c r="I36" s="65"/>
      <c r="J36" s="65"/>
      <c r="K36" s="84"/>
    </row>
    <row r="37" spans="1:11" ht="12.75" customHeight="1" x14ac:dyDescent="0.25">
      <c r="A37" s="173" t="s">
        <v>153</v>
      </c>
      <c r="B37" s="30">
        <f>'E4-FinPos'!C14</f>
        <v>212589</v>
      </c>
      <c r="C37" s="29">
        <f>'E4-FinPos'!D14</f>
        <v>0</v>
      </c>
      <c r="D37" s="29">
        <f>'E4-FinPos'!E14</f>
        <v>0</v>
      </c>
      <c r="E37" s="29">
        <f>'E4-FinPos'!F14</f>
        <v>0</v>
      </c>
      <c r="F37" s="29">
        <f>'E4-FinPos'!G14</f>
        <v>0</v>
      </c>
      <c r="G37" s="29">
        <f>'E4-FinPos'!H14</f>
        <v>0</v>
      </c>
      <c r="H37" s="29">
        <f>SUM(D37:G37)</f>
        <v>0</v>
      </c>
      <c r="I37" s="29">
        <f>IF(C37=0,B37+H37,C37+H37)</f>
        <v>212589</v>
      </c>
      <c r="J37" s="29">
        <f>'E4-FinPos'!K14</f>
        <v>0</v>
      </c>
      <c r="K37" s="85">
        <f>'E4-FinPos'!L14</f>
        <v>0</v>
      </c>
    </row>
    <row r="38" spans="1:11" ht="12.75" customHeight="1" x14ac:dyDescent="0.25">
      <c r="A38" s="173" t="s">
        <v>152</v>
      </c>
      <c r="B38" s="30">
        <f>'E4-FinPos'!C25</f>
        <v>141916</v>
      </c>
      <c r="C38" s="29">
        <f>'E4-FinPos'!D25</f>
        <v>0</v>
      </c>
      <c r="D38" s="29">
        <f>'E4-FinPos'!E25</f>
        <v>0</v>
      </c>
      <c r="E38" s="29">
        <f>'E4-FinPos'!F25</f>
        <v>0</v>
      </c>
      <c r="F38" s="29">
        <f>'E4-FinPos'!G25</f>
        <v>0</v>
      </c>
      <c r="G38" s="29">
        <f>'E4-FinPos'!H25</f>
        <v>0</v>
      </c>
      <c r="H38" s="29">
        <f>SUM(D38:G38)</f>
        <v>0</v>
      </c>
      <c r="I38" s="29">
        <f>IF(C38=0,B38+H38,C38+H38)</f>
        <v>141916</v>
      </c>
      <c r="J38" s="29">
        <f>'E4-FinPos'!K25</f>
        <v>0</v>
      </c>
      <c r="K38" s="85">
        <f>'E4-FinPos'!L25</f>
        <v>0</v>
      </c>
    </row>
    <row r="39" spans="1:11" ht="12.75" customHeight="1" x14ac:dyDescent="0.25">
      <c r="A39" s="173" t="s">
        <v>22</v>
      </c>
      <c r="B39" s="30">
        <f>'E4-FinPos'!C35</f>
        <v>1515793</v>
      </c>
      <c r="C39" s="29">
        <f>'E4-FinPos'!D35</f>
        <v>0</v>
      </c>
      <c r="D39" s="29">
        <f>'E4-FinPos'!E35</f>
        <v>0</v>
      </c>
      <c r="E39" s="29">
        <f>'E4-FinPos'!F35</f>
        <v>0</v>
      </c>
      <c r="F39" s="29">
        <f>'E4-FinPos'!G35</f>
        <v>0</v>
      </c>
      <c r="G39" s="29">
        <f>'E4-FinPos'!H35</f>
        <v>0</v>
      </c>
      <c r="H39" s="29">
        <f>SUM(D39:G39)</f>
        <v>0</v>
      </c>
      <c r="I39" s="29">
        <f>IF(C39=0,B39+H39,C39+H39)</f>
        <v>1515793</v>
      </c>
      <c r="J39" s="29">
        <f>'E4-FinPos'!K35</f>
        <v>0</v>
      </c>
      <c r="K39" s="85">
        <f>'E4-FinPos'!L35</f>
        <v>0</v>
      </c>
    </row>
    <row r="40" spans="1:11" ht="12.75" customHeight="1" x14ac:dyDescent="0.25">
      <c r="A40" s="173" t="s">
        <v>21</v>
      </c>
      <c r="B40" s="30">
        <f>'E4-FinPos'!C40</f>
        <v>0</v>
      </c>
      <c r="C40" s="29">
        <f>'E4-FinPos'!D40</f>
        <v>0</v>
      </c>
      <c r="D40" s="29">
        <f>'E4-FinPos'!E40</f>
        <v>0</v>
      </c>
      <c r="E40" s="29">
        <f>'E4-FinPos'!F40</f>
        <v>0</v>
      </c>
      <c r="F40" s="29">
        <f>'E4-FinPos'!G40</f>
        <v>0</v>
      </c>
      <c r="G40" s="29">
        <f>'E4-FinPos'!H40</f>
        <v>0</v>
      </c>
      <c r="H40" s="29">
        <f>SUM(D40:G40)</f>
        <v>0</v>
      </c>
      <c r="I40" s="29">
        <f>IF(C40=0,B40+H40,C40+H40)</f>
        <v>0</v>
      </c>
      <c r="J40" s="29">
        <f>'E4-FinPos'!K40</f>
        <v>0</v>
      </c>
      <c r="K40" s="85">
        <f>'E4-FinPos'!L40</f>
        <v>0</v>
      </c>
    </row>
    <row r="41" spans="1:11" ht="12.75" customHeight="1" x14ac:dyDescent="0.25">
      <c r="A41" s="173" t="s">
        <v>58</v>
      </c>
      <c r="B41" s="30">
        <f>'E4-FinPos'!C48</f>
        <v>-1161289</v>
      </c>
      <c r="C41" s="29">
        <f>'E4-FinPos'!D48</f>
        <v>0</v>
      </c>
      <c r="D41" s="29">
        <f>'E4-FinPos'!E48</f>
        <v>0</v>
      </c>
      <c r="E41" s="29">
        <f>'E4-FinPos'!F48</f>
        <v>0</v>
      </c>
      <c r="F41" s="29">
        <f>'E4-FinPos'!G48</f>
        <v>0</v>
      </c>
      <c r="G41" s="29">
        <f>'E4-FinPos'!H48</f>
        <v>0</v>
      </c>
      <c r="H41" s="29">
        <f>SUM(D41:G41)</f>
        <v>0</v>
      </c>
      <c r="I41" s="29">
        <f>IF(C41=0,B41+H41,C41+H41)</f>
        <v>-1161289</v>
      </c>
      <c r="J41" s="29">
        <f>'E4-FinPos'!K48</f>
        <v>0</v>
      </c>
      <c r="K41" s="85">
        <f>'E4-FinPos'!L48</f>
        <v>0</v>
      </c>
    </row>
    <row r="42" spans="1:11" ht="5.0999999999999996" customHeight="1" x14ac:dyDescent="0.25">
      <c r="A42" s="175"/>
      <c r="B42" s="67"/>
      <c r="C42" s="67"/>
      <c r="D42" s="67"/>
      <c r="E42" s="67"/>
      <c r="F42" s="67"/>
      <c r="G42" s="67"/>
      <c r="H42" s="67"/>
      <c r="I42" s="67"/>
      <c r="J42" s="67"/>
      <c r="K42" s="102"/>
    </row>
    <row r="43" spans="1:11" ht="12.75" customHeight="1" x14ac:dyDescent="0.25">
      <c r="A43" s="178" t="s">
        <v>53</v>
      </c>
      <c r="B43" s="29"/>
      <c r="C43" s="29"/>
      <c r="D43" s="29"/>
      <c r="E43" s="29"/>
      <c r="F43" s="29"/>
      <c r="G43" s="29"/>
      <c r="H43" s="29"/>
      <c r="I43" s="29"/>
      <c r="J43" s="29"/>
      <c r="K43" s="85"/>
    </row>
    <row r="44" spans="1:11" ht="12.75" customHeight="1" x14ac:dyDescent="0.25">
      <c r="A44" s="173" t="s">
        <v>172</v>
      </c>
      <c r="B44" s="30">
        <f>'E5-CFlow'!C20</f>
        <v>0</v>
      </c>
      <c r="C44" s="29">
        <f>'E5-CFlow'!D20</f>
        <v>0</v>
      </c>
      <c r="D44" s="29">
        <f>'E5-CFlow'!E20</f>
        <v>0</v>
      </c>
      <c r="E44" s="29">
        <f>'E5-CFlow'!F20</f>
        <v>0</v>
      </c>
      <c r="F44" s="29">
        <f>'E5-CFlow'!G20</f>
        <v>0</v>
      </c>
      <c r="G44" s="29">
        <f>'E5-CFlow'!H20</f>
        <v>0</v>
      </c>
      <c r="H44" s="29">
        <f>SUM(D44:G44)</f>
        <v>0</v>
      </c>
      <c r="I44" s="29">
        <f>IF(C44=0,B44+H44,C44+H44)</f>
        <v>0</v>
      </c>
      <c r="J44" s="29">
        <f>'E5-CFlow'!K20</f>
        <v>0</v>
      </c>
      <c r="K44" s="85">
        <f>'E5-CFlow'!L20</f>
        <v>0</v>
      </c>
    </row>
    <row r="45" spans="1:11" ht="12.75" customHeight="1" x14ac:dyDescent="0.25">
      <c r="A45" s="173" t="s">
        <v>173</v>
      </c>
      <c r="B45" s="30">
        <f>'E5-CFlow'!C30</f>
        <v>0</v>
      </c>
      <c r="C45" s="29">
        <f>'E5-CFlow'!D30</f>
        <v>0</v>
      </c>
      <c r="D45" s="29">
        <f>'E5-CFlow'!E30</f>
        <v>0</v>
      </c>
      <c r="E45" s="29">
        <f>'E5-CFlow'!F30</f>
        <v>0</v>
      </c>
      <c r="F45" s="29">
        <f>'E5-CFlow'!G30</f>
        <v>0</v>
      </c>
      <c r="G45" s="29">
        <f>'E5-CFlow'!H30</f>
        <v>0</v>
      </c>
      <c r="H45" s="29">
        <f>SUM(D45:G45)</f>
        <v>0</v>
      </c>
      <c r="I45" s="29">
        <f>IF(C45=0,B45+H45,C45+H45)</f>
        <v>0</v>
      </c>
      <c r="J45" s="29">
        <f>'E5-CFlow'!K30</f>
        <v>0</v>
      </c>
      <c r="K45" s="85">
        <f>'E5-CFlow'!L30</f>
        <v>0</v>
      </c>
    </row>
    <row r="46" spans="1:11" ht="12.75" customHeight="1" x14ac:dyDescent="0.25">
      <c r="A46" s="173" t="s">
        <v>171</v>
      </c>
      <c r="B46" s="30">
        <f>'E5-CFlow'!C39</f>
        <v>0</v>
      </c>
      <c r="C46" s="29">
        <f>'E5-CFlow'!D39</f>
        <v>0</v>
      </c>
      <c r="D46" s="29">
        <f>'E5-CFlow'!E39</f>
        <v>0</v>
      </c>
      <c r="E46" s="29">
        <f>'E5-CFlow'!F39</f>
        <v>0</v>
      </c>
      <c r="F46" s="29">
        <f>'E5-CFlow'!G39</f>
        <v>0</v>
      </c>
      <c r="G46" s="29">
        <f>'E5-CFlow'!H39</f>
        <v>0</v>
      </c>
      <c r="H46" s="29">
        <f>SUM(D46:G46)</f>
        <v>0</v>
      </c>
      <c r="I46" s="29">
        <f>IF(C46=0,B46+H46,C46+H46)</f>
        <v>0</v>
      </c>
      <c r="J46" s="29">
        <f>'E5-CFlow'!K39</f>
        <v>0</v>
      </c>
      <c r="K46" s="85">
        <f>'E5-CFlow'!L39</f>
        <v>0</v>
      </c>
    </row>
    <row r="47" spans="1:11" ht="12.75" customHeight="1" x14ac:dyDescent="0.25">
      <c r="A47" s="285" t="s">
        <v>25</v>
      </c>
      <c r="B47" s="51">
        <f>'E5-CFlow'!C43</f>
        <v>209203</v>
      </c>
      <c r="C47" s="50">
        <f>'E5-CFlow'!D43</f>
        <v>209203</v>
      </c>
      <c r="D47" s="50">
        <f>'E5-CFlow'!E43</f>
        <v>209203</v>
      </c>
      <c r="E47" s="50">
        <f>'E5-CFlow'!F43</f>
        <v>209203</v>
      </c>
      <c r="F47" s="50">
        <f>'E5-CFlow'!G43</f>
        <v>209203</v>
      </c>
      <c r="G47" s="50">
        <f>'E5-CFlow'!H43</f>
        <v>209203</v>
      </c>
      <c r="H47" s="50">
        <f>SUM(D47:G47)</f>
        <v>836812</v>
      </c>
      <c r="I47" s="50">
        <f>IF(C47=0,B47+H47,C47+H47)</f>
        <v>1046015</v>
      </c>
      <c r="J47" s="50">
        <f>'E5-CFlow'!K43</f>
        <v>209203</v>
      </c>
      <c r="K47" s="111">
        <f>'E5-CFlow'!L43</f>
        <v>209203</v>
      </c>
    </row>
    <row r="48" spans="1:11" ht="12.75" customHeight="1" x14ac:dyDescent="0.25">
      <c r="A48" s="159" t="s">
        <v>170</v>
      </c>
      <c r="B48" s="60"/>
      <c r="C48" s="60"/>
      <c r="D48" s="60"/>
      <c r="E48" s="60"/>
      <c r="F48" s="60"/>
      <c r="G48" s="60"/>
      <c r="H48" s="60"/>
      <c r="I48" s="60"/>
    </row>
    <row r="49" spans="1:9" ht="12.75" customHeight="1" x14ac:dyDescent="0.25">
      <c r="A49" s="39" t="s">
        <v>425</v>
      </c>
      <c r="B49" s="60"/>
      <c r="C49" s="60"/>
      <c r="D49" s="60"/>
      <c r="E49" s="60"/>
      <c r="F49" s="60"/>
      <c r="G49" s="60"/>
      <c r="H49" s="60"/>
      <c r="I49" s="60"/>
    </row>
    <row r="50" spans="1:9" ht="12.75" customHeight="1" x14ac:dyDescent="0.25">
      <c r="A50" s="156" t="s">
        <v>108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5">
      <c r="A51" s="74" t="s">
        <v>427</v>
      </c>
    </row>
    <row r="52" spans="1:9" x14ac:dyDescent="0.25">
      <c r="A52" s="74" t="s">
        <v>428</v>
      </c>
    </row>
    <row r="53" spans="1:9" x14ac:dyDescent="0.25">
      <c r="A53" s="74" t="s">
        <v>225</v>
      </c>
    </row>
    <row r="54" spans="1:9" x14ac:dyDescent="0.25">
      <c r="A54" s="156" t="s">
        <v>226</v>
      </c>
    </row>
    <row r="55" spans="1:9" x14ac:dyDescent="0.25">
      <c r="A55" s="156" t="s">
        <v>227</v>
      </c>
    </row>
  </sheetData>
  <sheetProtection password="A35B" sheet="1" objects="1" scenarios="1"/>
  <mergeCells count="2">
    <mergeCell ref="B2:I2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tabColor indexed="44"/>
    <pageSetUpPr fitToPage="1"/>
  </sheetPr>
  <dimension ref="A1:L84"/>
  <sheetViews>
    <sheetView showGridLines="0" workbookViewId="0">
      <pane xSplit="2" ySplit="5" topLeftCell="C27" activePane="bottomRight" state="frozen"/>
      <selection sqref="A1:IV65536"/>
      <selection pane="topRight" sqref="A1:IV65536"/>
      <selection pane="bottomLeft" sqref="A1:IV65536"/>
      <selection pane="bottomRight" activeCell="J33" sqref="J33"/>
    </sheetView>
  </sheetViews>
  <sheetFormatPr defaultRowHeight="12.75" x14ac:dyDescent="0.25"/>
  <cols>
    <col min="1" max="1" width="35.7109375" style="20" customWidth="1"/>
    <col min="2" max="2" width="3.140625" style="47" customWidth="1"/>
    <col min="3" max="12" width="8.7109375" style="20" customWidth="1"/>
    <col min="13" max="13" width="9.57031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2" ht="13.5" x14ac:dyDescent="0.25">
      <c r="A1" s="19" t="str">
        <f>MEAB1&amp;"  - "&amp;Date</f>
        <v>Greater Tzaneen Development Agency - Table E2 Adjustments Budget - Financial Performance (revenue and expenditure)  - 29/02/2016</v>
      </c>
    </row>
    <row r="2" spans="1:12" ht="38.25" x14ac:dyDescent="0.25">
      <c r="A2" s="438" t="str">
        <f>desc</f>
        <v>Description</v>
      </c>
      <c r="B2" s="438" t="str">
        <f>head27</f>
        <v>Ref</v>
      </c>
      <c r="C2" s="437" t="str">
        <f>Head9</f>
        <v>Budget Year 2015/16</v>
      </c>
      <c r="D2" s="434"/>
      <c r="E2" s="434"/>
      <c r="F2" s="434"/>
      <c r="G2" s="434"/>
      <c r="H2" s="434"/>
      <c r="I2" s="434"/>
      <c r="J2" s="435"/>
      <c r="K2" s="21" t="str">
        <f>Head10</f>
        <v>Budget Year +1 2016/17</v>
      </c>
      <c r="L2" s="83" t="str">
        <f>Head11</f>
        <v>Budget Year +2 2017/18</v>
      </c>
    </row>
    <row r="3" spans="1:12" ht="25.5" x14ac:dyDescent="0.25">
      <c r="A3" s="439"/>
      <c r="B3" s="439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39"/>
      <c r="B4" s="439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124" t="s">
        <v>193</v>
      </c>
      <c r="B5" s="125"/>
      <c r="C5" s="198" t="s">
        <v>107</v>
      </c>
      <c r="D5" s="199" t="s">
        <v>316</v>
      </c>
      <c r="E5" s="200" t="s">
        <v>77</v>
      </c>
      <c r="F5" s="200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0"/>
      <c r="L5" s="169"/>
    </row>
    <row r="6" spans="1:12" ht="12.75" customHeight="1" x14ac:dyDescent="0.25">
      <c r="A6" s="23" t="s">
        <v>44</v>
      </c>
      <c r="B6" s="281"/>
      <c r="C6" s="362"/>
      <c r="D6" s="63"/>
      <c r="E6" s="63"/>
      <c r="F6" s="63"/>
      <c r="G6" s="63"/>
      <c r="H6" s="63"/>
      <c r="I6" s="29"/>
      <c r="J6" s="29"/>
      <c r="K6" s="29"/>
      <c r="L6" s="85"/>
    </row>
    <row r="7" spans="1:12" ht="12.75" customHeight="1" x14ac:dyDescent="0.25">
      <c r="A7" s="26" t="s">
        <v>387</v>
      </c>
      <c r="B7" s="281"/>
      <c r="C7" s="211"/>
      <c r="D7" s="212"/>
      <c r="E7" s="212"/>
      <c r="F7" s="212"/>
      <c r="G7" s="212"/>
      <c r="H7" s="212"/>
      <c r="I7" s="29">
        <f t="shared" ref="I7:I23" si="0">SUM(E7:H7)</f>
        <v>0</v>
      </c>
      <c r="J7" s="64">
        <f t="shared" ref="J7:J23" si="1">IF(D7=0,C7+I7,D7+I7)</f>
        <v>0</v>
      </c>
      <c r="K7" s="212"/>
      <c r="L7" s="213"/>
    </row>
    <row r="8" spans="1:12" ht="12.75" customHeight="1" x14ac:dyDescent="0.25">
      <c r="A8" s="26" t="s">
        <v>418</v>
      </c>
      <c r="B8" s="281"/>
      <c r="C8" s="211"/>
      <c r="D8" s="212"/>
      <c r="E8" s="212"/>
      <c r="F8" s="212"/>
      <c r="G8" s="212"/>
      <c r="H8" s="212"/>
      <c r="I8" s="29">
        <f t="shared" si="0"/>
        <v>0</v>
      </c>
      <c r="J8" s="64">
        <f t="shared" si="1"/>
        <v>0</v>
      </c>
      <c r="K8" s="212"/>
      <c r="L8" s="213"/>
    </row>
    <row r="9" spans="1:12" ht="12.75" customHeight="1" x14ac:dyDescent="0.25">
      <c r="A9" s="26" t="s">
        <v>322</v>
      </c>
      <c r="B9" s="281"/>
      <c r="C9" s="211"/>
      <c r="D9" s="212"/>
      <c r="E9" s="212"/>
      <c r="F9" s="212"/>
      <c r="G9" s="212"/>
      <c r="H9" s="212"/>
      <c r="I9" s="29">
        <f t="shared" si="0"/>
        <v>0</v>
      </c>
      <c r="J9" s="64">
        <f t="shared" si="1"/>
        <v>0</v>
      </c>
      <c r="K9" s="212"/>
      <c r="L9" s="213"/>
    </row>
    <row r="10" spans="1:12" ht="12.75" customHeight="1" x14ac:dyDescent="0.25">
      <c r="A10" s="26" t="s">
        <v>323</v>
      </c>
      <c r="B10" s="281"/>
      <c r="C10" s="211"/>
      <c r="D10" s="212"/>
      <c r="E10" s="212"/>
      <c r="F10" s="212"/>
      <c r="G10" s="212"/>
      <c r="H10" s="212"/>
      <c r="I10" s="29">
        <f t="shared" si="0"/>
        <v>0</v>
      </c>
      <c r="J10" s="64">
        <f t="shared" si="1"/>
        <v>0</v>
      </c>
      <c r="K10" s="212"/>
      <c r="L10" s="213"/>
    </row>
    <row r="11" spans="1:12" ht="12.75" customHeight="1" x14ac:dyDescent="0.25">
      <c r="A11" s="26" t="s">
        <v>324</v>
      </c>
      <c r="B11" s="281"/>
      <c r="C11" s="211"/>
      <c r="D11" s="212"/>
      <c r="E11" s="212"/>
      <c r="F11" s="212"/>
      <c r="G11" s="212"/>
      <c r="H11" s="212"/>
      <c r="I11" s="29">
        <f t="shared" si="0"/>
        <v>0</v>
      </c>
      <c r="J11" s="64">
        <f t="shared" si="1"/>
        <v>0</v>
      </c>
      <c r="K11" s="212"/>
      <c r="L11" s="213"/>
    </row>
    <row r="12" spans="1:12" ht="12.75" customHeight="1" x14ac:dyDescent="0.25">
      <c r="A12" s="26" t="s">
        <v>901</v>
      </c>
      <c r="B12" s="281"/>
      <c r="C12" s="211"/>
      <c r="D12" s="212"/>
      <c r="E12" s="212"/>
      <c r="F12" s="212"/>
      <c r="G12" s="212"/>
      <c r="H12" s="212"/>
      <c r="I12" s="29">
        <f t="shared" si="0"/>
        <v>0</v>
      </c>
      <c r="J12" s="64">
        <f t="shared" si="1"/>
        <v>0</v>
      </c>
      <c r="K12" s="212"/>
      <c r="L12" s="213"/>
    </row>
    <row r="13" spans="1:12" ht="12.75" customHeight="1" x14ac:dyDescent="0.25">
      <c r="A13" s="26" t="s">
        <v>325</v>
      </c>
      <c r="B13" s="281"/>
      <c r="C13" s="211"/>
      <c r="D13" s="212"/>
      <c r="E13" s="212"/>
      <c r="F13" s="212"/>
      <c r="G13" s="212"/>
      <c r="H13" s="212"/>
      <c r="I13" s="29">
        <f t="shared" si="0"/>
        <v>0</v>
      </c>
      <c r="J13" s="64">
        <f t="shared" si="1"/>
        <v>0</v>
      </c>
      <c r="K13" s="212"/>
      <c r="L13" s="213"/>
    </row>
    <row r="14" spans="1:12" ht="12.75" customHeight="1" x14ac:dyDescent="0.25">
      <c r="A14" s="26" t="s">
        <v>420</v>
      </c>
      <c r="B14" s="281"/>
      <c r="C14" s="211"/>
      <c r="D14" s="212"/>
      <c r="E14" s="212"/>
      <c r="F14" s="212"/>
      <c r="G14" s="212"/>
      <c r="H14" s="212"/>
      <c r="I14" s="29">
        <f t="shared" si="0"/>
        <v>0</v>
      </c>
      <c r="J14" s="64">
        <f t="shared" si="1"/>
        <v>0</v>
      </c>
      <c r="K14" s="212"/>
      <c r="L14" s="213"/>
    </row>
    <row r="15" spans="1:12" ht="12.75" customHeight="1" x14ac:dyDescent="0.25">
      <c r="A15" s="26" t="s">
        <v>329</v>
      </c>
      <c r="B15" s="281"/>
      <c r="C15" s="211"/>
      <c r="D15" s="212"/>
      <c r="E15" s="212"/>
      <c r="F15" s="212"/>
      <c r="G15" s="212"/>
      <c r="H15" s="212"/>
      <c r="I15" s="29">
        <f t="shared" si="0"/>
        <v>0</v>
      </c>
      <c r="J15" s="64">
        <f t="shared" si="1"/>
        <v>0</v>
      </c>
      <c r="K15" s="212"/>
      <c r="L15" s="213"/>
    </row>
    <row r="16" spans="1:12" ht="12.75" customHeight="1" x14ac:dyDescent="0.25">
      <c r="A16" s="26" t="s">
        <v>330</v>
      </c>
      <c r="B16" s="281"/>
      <c r="C16" s="211"/>
      <c r="D16" s="212"/>
      <c r="E16" s="212"/>
      <c r="F16" s="212"/>
      <c r="G16" s="212"/>
      <c r="H16" s="212"/>
      <c r="I16" s="29">
        <f t="shared" si="0"/>
        <v>0</v>
      </c>
      <c r="J16" s="64">
        <f t="shared" si="1"/>
        <v>0</v>
      </c>
      <c r="K16" s="212"/>
      <c r="L16" s="213"/>
    </row>
    <row r="17" spans="1:12" ht="12.75" customHeight="1" x14ac:dyDescent="0.25">
      <c r="A17" s="26" t="s">
        <v>381</v>
      </c>
      <c r="B17" s="281"/>
      <c r="C17" s="211"/>
      <c r="D17" s="212"/>
      <c r="E17" s="212"/>
      <c r="F17" s="212"/>
      <c r="G17" s="212"/>
      <c r="H17" s="212"/>
      <c r="I17" s="29">
        <f t="shared" si="0"/>
        <v>0</v>
      </c>
      <c r="J17" s="64">
        <f t="shared" si="1"/>
        <v>0</v>
      </c>
      <c r="K17" s="212"/>
      <c r="L17" s="213"/>
    </row>
    <row r="18" spans="1:12" ht="12.75" customHeight="1" x14ac:dyDescent="0.25">
      <c r="A18" s="57" t="s">
        <v>331</v>
      </c>
      <c r="B18" s="281"/>
      <c r="C18" s="211"/>
      <c r="D18" s="212"/>
      <c r="E18" s="212"/>
      <c r="F18" s="212"/>
      <c r="G18" s="212"/>
      <c r="H18" s="212"/>
      <c r="I18" s="29">
        <f t="shared" si="0"/>
        <v>0</v>
      </c>
      <c r="J18" s="64">
        <f t="shared" si="1"/>
        <v>0</v>
      </c>
      <c r="K18" s="212"/>
      <c r="L18" s="213"/>
    </row>
    <row r="19" spans="1:12" ht="12.75" customHeight="1" x14ac:dyDescent="0.25">
      <c r="A19" s="26" t="s">
        <v>332</v>
      </c>
      <c r="B19" s="281"/>
      <c r="C19" s="211"/>
      <c r="D19" s="212"/>
      <c r="E19" s="212"/>
      <c r="F19" s="212"/>
      <c r="G19" s="212"/>
      <c r="H19" s="212"/>
      <c r="I19" s="29">
        <f t="shared" si="0"/>
        <v>0</v>
      </c>
      <c r="J19" s="64">
        <f t="shared" si="1"/>
        <v>0</v>
      </c>
      <c r="K19" s="212"/>
      <c r="L19" s="213"/>
    </row>
    <row r="20" spans="1:12" ht="12.75" customHeight="1" x14ac:dyDescent="0.25">
      <c r="A20" s="26" t="s">
        <v>116</v>
      </c>
      <c r="B20" s="281"/>
      <c r="C20" s="211"/>
      <c r="D20" s="212"/>
      <c r="E20" s="212"/>
      <c r="F20" s="212"/>
      <c r="G20" s="212"/>
      <c r="H20" s="212"/>
      <c r="I20" s="29">
        <f t="shared" si="0"/>
        <v>0</v>
      </c>
      <c r="J20" s="64">
        <f t="shared" si="1"/>
        <v>0</v>
      </c>
      <c r="K20" s="212"/>
      <c r="L20" s="213"/>
    </row>
    <row r="21" spans="1:12" ht="12.75" customHeight="1" x14ac:dyDescent="0.25">
      <c r="A21" s="265" t="s">
        <v>895</v>
      </c>
      <c r="B21" s="281"/>
      <c r="C21" s="211"/>
      <c r="D21" s="212"/>
      <c r="E21" s="212"/>
      <c r="F21" s="212"/>
      <c r="G21" s="212"/>
      <c r="H21" s="212"/>
      <c r="I21" s="29">
        <f t="shared" si="0"/>
        <v>0</v>
      </c>
      <c r="J21" s="64">
        <f t="shared" si="1"/>
        <v>0</v>
      </c>
      <c r="K21" s="212"/>
      <c r="L21" s="213"/>
    </row>
    <row r="22" spans="1:12" ht="12.75" customHeight="1" x14ac:dyDescent="0.25">
      <c r="A22" s="57" t="s">
        <v>17</v>
      </c>
      <c r="B22" s="281"/>
      <c r="C22" s="236">
        <f>[8]Sheet1!$G$14</f>
        <v>5500000</v>
      </c>
      <c r="D22" s="212"/>
      <c r="E22" s="212"/>
      <c r="F22" s="212">
        <v>842903</v>
      </c>
      <c r="G22" s="212"/>
      <c r="H22" s="212"/>
      <c r="I22" s="29">
        <f t="shared" si="0"/>
        <v>842903</v>
      </c>
      <c r="J22" s="64">
        <f t="shared" si="1"/>
        <v>6342903</v>
      </c>
      <c r="K22" s="211">
        <f>8800000</f>
        <v>8800000</v>
      </c>
      <c r="L22" s="213">
        <f>9940000</f>
        <v>9940000</v>
      </c>
    </row>
    <row r="23" spans="1:12" ht="12.75" customHeight="1" x14ac:dyDescent="0.25">
      <c r="A23" s="26" t="s">
        <v>333</v>
      </c>
      <c r="B23" s="281"/>
      <c r="C23" s="214"/>
      <c r="D23" s="215"/>
      <c r="E23" s="215"/>
      <c r="F23" s="215"/>
      <c r="G23" s="215"/>
      <c r="H23" s="215"/>
      <c r="I23" s="29">
        <f t="shared" si="0"/>
        <v>0</v>
      </c>
      <c r="J23" s="64">
        <f t="shared" si="1"/>
        <v>0</v>
      </c>
      <c r="K23" s="215"/>
      <c r="L23" s="216"/>
    </row>
    <row r="24" spans="1:12" ht="25.5" customHeight="1" x14ac:dyDescent="0.25">
      <c r="A24" s="387" t="s">
        <v>529</v>
      </c>
      <c r="B24" s="110"/>
      <c r="C24" s="300">
        <f t="shared" ref="C24:L24" si="2">SUM(C7:C23)</f>
        <v>5500000</v>
      </c>
      <c r="D24" s="298">
        <f t="shared" si="2"/>
        <v>0</v>
      </c>
      <c r="E24" s="298">
        <f t="shared" si="2"/>
        <v>0</v>
      </c>
      <c r="F24" s="298">
        <f t="shared" si="2"/>
        <v>842903</v>
      </c>
      <c r="G24" s="298">
        <f t="shared" si="2"/>
        <v>0</v>
      </c>
      <c r="H24" s="298">
        <f t="shared" si="2"/>
        <v>0</v>
      </c>
      <c r="I24" s="298">
        <f t="shared" si="2"/>
        <v>842903</v>
      </c>
      <c r="J24" s="298">
        <f t="shared" si="2"/>
        <v>6342903</v>
      </c>
      <c r="K24" s="298">
        <f t="shared" si="2"/>
        <v>8800000</v>
      </c>
      <c r="L24" s="299">
        <f t="shared" si="2"/>
        <v>9940000</v>
      </c>
    </row>
    <row r="25" spans="1:12" ht="5.0999999999999996" customHeight="1" x14ac:dyDescent="0.25">
      <c r="A25" s="27"/>
      <c r="B25" s="92"/>
      <c r="C25" s="30"/>
      <c r="D25" s="29"/>
      <c r="E25" s="29"/>
      <c r="F25" s="29"/>
      <c r="G25" s="29"/>
      <c r="H25" s="29"/>
      <c r="I25" s="29"/>
      <c r="J25" s="29"/>
      <c r="K25" s="29"/>
      <c r="L25" s="85"/>
    </row>
    <row r="26" spans="1:12" ht="12.75" customHeight="1" x14ac:dyDescent="0.25">
      <c r="A26" s="23" t="s">
        <v>45</v>
      </c>
      <c r="B26" s="98"/>
      <c r="C26" s="30"/>
      <c r="D26" s="29"/>
      <c r="E26" s="29"/>
      <c r="F26" s="29"/>
      <c r="G26" s="29"/>
      <c r="H26" s="29"/>
      <c r="I26" s="29"/>
      <c r="J26" s="29"/>
      <c r="K26" s="29"/>
      <c r="L26" s="85"/>
    </row>
    <row r="27" spans="1:12" ht="12.75" customHeight="1" x14ac:dyDescent="0.25">
      <c r="A27" s="26" t="s">
        <v>334</v>
      </c>
      <c r="B27" s="95"/>
      <c r="C27" s="211">
        <f>2835500.72+724468.75</f>
        <v>3559969.47</v>
      </c>
      <c r="D27" s="212"/>
      <c r="E27" s="212"/>
      <c r="F27" s="212"/>
      <c r="G27" s="212"/>
      <c r="H27" s="212"/>
      <c r="I27" s="29">
        <f t="shared" ref="I27:I37" si="3">SUM(E27:H27)</f>
        <v>0</v>
      </c>
      <c r="J27" s="29">
        <f t="shared" ref="J27:J37" si="4">IF(D27=0,C27+I27,D27+I27)</f>
        <v>3559969.47</v>
      </c>
      <c r="K27" s="211">
        <f>2627197.39+1617195.59</f>
        <v>4244392.9800000004</v>
      </c>
      <c r="L27" s="212">
        <f>3024623.21+2102825.55</f>
        <v>5127448.76</v>
      </c>
    </row>
    <row r="28" spans="1:12" ht="12.75" customHeight="1" x14ac:dyDescent="0.25">
      <c r="A28" s="26" t="s">
        <v>914</v>
      </c>
      <c r="B28" s="92"/>
      <c r="C28" s="211">
        <f>328000</f>
        <v>328000</v>
      </c>
      <c r="D28" s="212"/>
      <c r="E28" s="212"/>
      <c r="F28" s="212">
        <v>664474</v>
      </c>
      <c r="G28" s="212"/>
      <c r="H28" s="212"/>
      <c r="I28" s="29">
        <f t="shared" si="3"/>
        <v>664474</v>
      </c>
      <c r="J28" s="29">
        <f t="shared" si="4"/>
        <v>992474</v>
      </c>
      <c r="K28" s="211">
        <f>1247591.48</f>
        <v>1247591.48</v>
      </c>
      <c r="L28" s="213">
        <f>1429747.6</f>
        <v>1429747.6</v>
      </c>
    </row>
    <row r="29" spans="1:12" ht="12.75" customHeight="1" x14ac:dyDescent="0.25">
      <c r="A29" s="57" t="s">
        <v>139</v>
      </c>
      <c r="B29" s="95"/>
      <c r="C29" s="211"/>
      <c r="D29" s="212"/>
      <c r="E29" s="212"/>
      <c r="F29" s="212"/>
      <c r="G29" s="212"/>
      <c r="H29" s="212"/>
      <c r="I29" s="29">
        <f t="shared" si="3"/>
        <v>0</v>
      </c>
      <c r="J29" s="29">
        <f t="shared" si="4"/>
        <v>0</v>
      </c>
      <c r="K29" s="212"/>
      <c r="L29" s="213"/>
    </row>
    <row r="30" spans="1:12" ht="12.75" customHeight="1" x14ac:dyDescent="0.25">
      <c r="A30" s="57" t="s">
        <v>187</v>
      </c>
      <c r="B30" s="95"/>
      <c r="C30" s="211"/>
      <c r="D30" s="212"/>
      <c r="E30" s="212"/>
      <c r="F30" s="212"/>
      <c r="G30" s="212"/>
      <c r="H30" s="212"/>
      <c r="I30" s="29">
        <f t="shared" si="3"/>
        <v>0</v>
      </c>
      <c r="J30" s="29">
        <f t="shared" si="4"/>
        <v>0</v>
      </c>
      <c r="K30" s="211">
        <f>109091.44</f>
        <v>109091.44</v>
      </c>
      <c r="L30" s="213">
        <f>122575.14</f>
        <v>122575.14</v>
      </c>
    </row>
    <row r="31" spans="1:12" ht="12.75" customHeight="1" x14ac:dyDescent="0.25">
      <c r="A31" s="57" t="s">
        <v>16</v>
      </c>
      <c r="B31" s="95"/>
      <c r="C31" s="211">
        <v>62000</v>
      </c>
      <c r="D31" s="212"/>
      <c r="E31" s="212"/>
      <c r="F31" s="212"/>
      <c r="G31" s="212"/>
      <c r="H31" s="212"/>
      <c r="I31" s="29">
        <f t="shared" si="3"/>
        <v>0</v>
      </c>
      <c r="J31" s="29">
        <f t="shared" si="4"/>
        <v>62000</v>
      </c>
      <c r="K31" s="211">
        <f>22578</f>
        <v>22578</v>
      </c>
      <c r="L31" s="213">
        <f>25368.64</f>
        <v>25368.639999999999</v>
      </c>
    </row>
    <row r="32" spans="1:12" ht="12.75" customHeight="1" x14ac:dyDescent="0.25">
      <c r="A32" s="57" t="s">
        <v>335</v>
      </c>
      <c r="B32" s="95"/>
      <c r="C32" s="211">
        <f>21300</f>
        <v>21300</v>
      </c>
      <c r="D32" s="212"/>
      <c r="E32" s="212"/>
      <c r="F32" s="212"/>
      <c r="G32" s="212"/>
      <c r="H32" s="212"/>
      <c r="I32" s="29">
        <f t="shared" si="3"/>
        <v>0</v>
      </c>
      <c r="J32" s="29">
        <f t="shared" si="4"/>
        <v>21300</v>
      </c>
      <c r="K32" s="212"/>
      <c r="L32" s="213"/>
    </row>
    <row r="33" spans="1:12" ht="12.75" customHeight="1" x14ac:dyDescent="0.25">
      <c r="A33" s="57" t="s">
        <v>379</v>
      </c>
      <c r="B33" s="95"/>
      <c r="C33" s="211"/>
      <c r="D33" s="212"/>
      <c r="E33" s="212"/>
      <c r="F33" s="212"/>
      <c r="G33" s="212"/>
      <c r="H33" s="212"/>
      <c r="I33" s="29">
        <f t="shared" si="3"/>
        <v>0</v>
      </c>
      <c r="J33" s="29">
        <f t="shared" si="4"/>
        <v>0</v>
      </c>
      <c r="K33" s="212"/>
      <c r="L33" s="213"/>
    </row>
    <row r="34" spans="1:12" ht="12.75" customHeight="1" x14ac:dyDescent="0.25">
      <c r="A34" s="57" t="s">
        <v>336</v>
      </c>
      <c r="B34" s="95"/>
      <c r="C34" s="211">
        <f>406765</f>
        <v>406765</v>
      </c>
      <c r="D34" s="212"/>
      <c r="E34" s="212"/>
      <c r="F34" s="212"/>
      <c r="G34" s="212"/>
      <c r="H34" s="212"/>
      <c r="I34" s="29">
        <f t="shared" si="3"/>
        <v>0</v>
      </c>
      <c r="J34" s="29" t="e">
        <f>IF(D34=0,#REF!+I34,D34+I34)</f>
        <v>#REF!</v>
      </c>
      <c r="K34" s="211">
        <f>922050.68</f>
        <v>922050.68</v>
      </c>
      <c r="L34" s="213">
        <f>947592.03</f>
        <v>947592.03</v>
      </c>
    </row>
    <row r="35" spans="1:12" ht="12.75" customHeight="1" x14ac:dyDescent="0.25">
      <c r="A35" s="271" t="s">
        <v>530</v>
      </c>
      <c r="B35" s="95"/>
      <c r="C35" s="211"/>
      <c r="D35" s="212"/>
      <c r="E35" s="212"/>
      <c r="F35" s="212"/>
      <c r="G35" s="212"/>
      <c r="H35" s="212"/>
      <c r="I35" s="29">
        <f t="shared" si="3"/>
        <v>0</v>
      </c>
      <c r="J35" s="29">
        <f>IF(D35=0,C34+I35,D35+I35)</f>
        <v>406765</v>
      </c>
      <c r="K35" s="211"/>
      <c r="L35" s="213"/>
    </row>
    <row r="36" spans="1:12" ht="12.75" customHeight="1" x14ac:dyDescent="0.25">
      <c r="A36" s="57" t="s">
        <v>2</v>
      </c>
      <c r="B36" s="95"/>
      <c r="C36" s="211">
        <f>83106+1036859.53</f>
        <v>1119965.53</v>
      </c>
      <c r="D36" s="212"/>
      <c r="E36" s="212"/>
      <c r="F36" s="212">
        <v>178430</v>
      </c>
      <c r="G36" s="212"/>
      <c r="H36" s="212"/>
      <c r="I36" s="29">
        <f t="shared" si="3"/>
        <v>178430</v>
      </c>
      <c r="J36" s="29">
        <f t="shared" si="4"/>
        <v>1298395.53</v>
      </c>
      <c r="K36" s="211">
        <f>111682.66+1907911.46</f>
        <v>2019594.1199999999</v>
      </c>
      <c r="L36" s="212">
        <f>125486.64+2156742.81</f>
        <v>2282229.4500000002</v>
      </c>
    </row>
    <row r="37" spans="1:12" ht="12.75" customHeight="1" x14ac:dyDescent="0.25">
      <c r="A37" s="26" t="s">
        <v>105</v>
      </c>
      <c r="B37" s="92"/>
      <c r="C37" s="211"/>
      <c r="D37" s="212"/>
      <c r="E37" s="212"/>
      <c r="F37" s="212"/>
      <c r="G37" s="212"/>
      <c r="H37" s="212"/>
      <c r="I37" s="29">
        <f t="shared" si="3"/>
        <v>0</v>
      </c>
      <c r="J37" s="29">
        <f t="shared" si="4"/>
        <v>0</v>
      </c>
      <c r="K37" s="212"/>
      <c r="L37" s="212"/>
    </row>
    <row r="38" spans="1:12" ht="12.75" customHeight="1" x14ac:dyDescent="0.25">
      <c r="A38" s="59" t="s">
        <v>46</v>
      </c>
      <c r="B38" s="110"/>
      <c r="C38" s="49">
        <f t="shared" ref="C38:L38" si="5">SUM(C27:C37)</f>
        <v>5498000.0000000009</v>
      </c>
      <c r="D38" s="48">
        <f t="shared" si="5"/>
        <v>0</v>
      </c>
      <c r="E38" s="48">
        <f t="shared" si="5"/>
        <v>0</v>
      </c>
      <c r="F38" s="48">
        <f t="shared" si="5"/>
        <v>842904</v>
      </c>
      <c r="G38" s="48">
        <f t="shared" si="5"/>
        <v>0</v>
      </c>
      <c r="H38" s="48">
        <f t="shared" si="5"/>
        <v>0</v>
      </c>
      <c r="I38" s="48">
        <f t="shared" si="5"/>
        <v>842904</v>
      </c>
      <c r="J38" s="48" t="e">
        <f t="shared" si="5"/>
        <v>#REF!</v>
      </c>
      <c r="K38" s="48">
        <f t="shared" si="5"/>
        <v>8565298.7000000011</v>
      </c>
      <c r="L38" s="86">
        <f t="shared" si="5"/>
        <v>9934961.6199999992</v>
      </c>
    </row>
    <row r="39" spans="1:12" ht="12.75" customHeight="1" x14ac:dyDescent="0.25">
      <c r="A39" s="58" t="s">
        <v>47</v>
      </c>
      <c r="B39" s="92"/>
      <c r="C39" s="30">
        <f t="shared" ref="C39:L39" si="6">C24-C38</f>
        <v>1999.9999999990687</v>
      </c>
      <c r="D39" s="29">
        <f t="shared" si="6"/>
        <v>0</v>
      </c>
      <c r="E39" s="29">
        <f t="shared" si="6"/>
        <v>0</v>
      </c>
      <c r="F39" s="29">
        <f t="shared" si="6"/>
        <v>-1</v>
      </c>
      <c r="G39" s="29">
        <f t="shared" si="6"/>
        <v>0</v>
      </c>
      <c r="H39" s="29">
        <f t="shared" si="6"/>
        <v>0</v>
      </c>
      <c r="I39" s="29">
        <f t="shared" si="6"/>
        <v>-1</v>
      </c>
      <c r="J39" s="29" t="e">
        <f t="shared" si="6"/>
        <v>#REF!</v>
      </c>
      <c r="K39" s="29">
        <f t="shared" si="6"/>
        <v>234701.29999999888</v>
      </c>
      <c r="L39" s="85">
        <f t="shared" si="6"/>
        <v>5038.3800000008196</v>
      </c>
    </row>
    <row r="40" spans="1:12" ht="12.75" customHeight="1" x14ac:dyDescent="0.25">
      <c r="A40" s="26" t="s">
        <v>414</v>
      </c>
      <c r="B40" s="92"/>
      <c r="C40" s="211"/>
      <c r="D40" s="212"/>
      <c r="E40" s="212"/>
      <c r="F40" s="212"/>
      <c r="G40" s="212"/>
      <c r="H40" s="212"/>
      <c r="I40" s="29">
        <f>SUM(E40:H40)</f>
        <v>0</v>
      </c>
      <c r="J40" s="29">
        <f>IF(D40=0,C40+I40,D40+I40)</f>
        <v>0</v>
      </c>
      <c r="K40" s="212"/>
      <c r="L40" s="213"/>
    </row>
    <row r="41" spans="1:12" ht="12.75" customHeight="1" x14ac:dyDescent="0.25">
      <c r="A41" s="265" t="s">
        <v>902</v>
      </c>
      <c r="B41" s="92"/>
      <c r="C41" s="211"/>
      <c r="D41" s="212"/>
      <c r="E41" s="212"/>
      <c r="F41" s="212"/>
      <c r="G41" s="212"/>
      <c r="H41" s="212"/>
      <c r="I41" s="29">
        <f>SUM(E41:H41)</f>
        <v>0</v>
      </c>
      <c r="J41" s="29">
        <f>IF(D41=0,C41+I41,D41+I41)</f>
        <v>0</v>
      </c>
      <c r="K41" s="212"/>
      <c r="L41" s="213"/>
    </row>
    <row r="42" spans="1:12" ht="12.75" customHeight="1" x14ac:dyDescent="0.25">
      <c r="A42" s="114" t="s">
        <v>59</v>
      </c>
      <c r="B42" s="115"/>
      <c r="C42" s="214">
        <v>2000</v>
      </c>
      <c r="D42" s="215"/>
      <c r="E42" s="215"/>
      <c r="F42" s="215"/>
      <c r="G42" s="215"/>
      <c r="H42" s="215"/>
      <c r="I42" s="62">
        <f>SUM(E42:H42)</f>
        <v>0</v>
      </c>
      <c r="J42" s="62">
        <f>IF(D42=0,C42+I42,D42+I42)</f>
        <v>2000</v>
      </c>
      <c r="K42" s="214">
        <v>234701.3</v>
      </c>
      <c r="L42" s="216">
        <f>5038.39</f>
        <v>5038.3900000000003</v>
      </c>
    </row>
    <row r="43" spans="1:12" ht="12.75" customHeight="1" x14ac:dyDescent="0.25">
      <c r="A43" s="116" t="s">
        <v>415</v>
      </c>
      <c r="B43" s="117"/>
      <c r="C43" s="118">
        <f>C39+SUM(C40:C42)</f>
        <v>3999.9999999990687</v>
      </c>
      <c r="D43" s="119">
        <f t="shared" ref="D43:L43" si="7">D39+SUM(D40:D42)</f>
        <v>0</v>
      </c>
      <c r="E43" s="119">
        <f t="shared" si="7"/>
        <v>0</v>
      </c>
      <c r="F43" s="119">
        <f t="shared" si="7"/>
        <v>-1</v>
      </c>
      <c r="G43" s="119">
        <f t="shared" si="7"/>
        <v>0</v>
      </c>
      <c r="H43" s="119">
        <f t="shared" si="7"/>
        <v>0</v>
      </c>
      <c r="I43" s="119">
        <f t="shared" si="7"/>
        <v>-1</v>
      </c>
      <c r="J43" s="119" t="e">
        <f>J39+SUM(J40:J42)</f>
        <v>#REF!</v>
      </c>
      <c r="K43" s="119">
        <f t="shared" si="7"/>
        <v>469402.59999999887</v>
      </c>
      <c r="L43" s="120">
        <f t="shared" si="7"/>
        <v>10076.770000000819</v>
      </c>
    </row>
    <row r="44" spans="1:12" ht="12.75" customHeight="1" x14ac:dyDescent="0.25">
      <c r="A44" s="26" t="s">
        <v>28</v>
      </c>
      <c r="B44" s="92"/>
      <c r="C44" s="211"/>
      <c r="D44" s="212"/>
      <c r="E44" s="215"/>
      <c r="F44" s="215"/>
      <c r="G44" s="215"/>
      <c r="H44" s="215"/>
      <c r="I44" s="62">
        <f>SUM(E44:H44)</f>
        <v>0</v>
      </c>
      <c r="J44" s="62">
        <f>IF(D44=0,C44+I44,D44+I44)</f>
        <v>0</v>
      </c>
      <c r="K44" s="212"/>
      <c r="L44" s="213"/>
    </row>
    <row r="45" spans="1:12" ht="12.75" customHeight="1" x14ac:dyDescent="0.25">
      <c r="A45" s="34" t="s">
        <v>358</v>
      </c>
      <c r="B45" s="113"/>
      <c r="C45" s="36">
        <f>C43-C44</f>
        <v>3999.9999999990687</v>
      </c>
      <c r="D45" s="35">
        <f t="shared" ref="D45:L45" si="8">D43-D44</f>
        <v>0</v>
      </c>
      <c r="E45" s="35">
        <f t="shared" si="8"/>
        <v>0</v>
      </c>
      <c r="F45" s="35">
        <f t="shared" si="8"/>
        <v>-1</v>
      </c>
      <c r="G45" s="35">
        <f t="shared" si="8"/>
        <v>0</v>
      </c>
      <c r="H45" s="35">
        <f t="shared" si="8"/>
        <v>0</v>
      </c>
      <c r="I45" s="35">
        <f t="shared" si="8"/>
        <v>-1</v>
      </c>
      <c r="J45" s="35" t="e">
        <f t="shared" si="8"/>
        <v>#REF!</v>
      </c>
      <c r="K45" s="35">
        <f t="shared" si="8"/>
        <v>469402.59999999887</v>
      </c>
      <c r="L45" s="112">
        <f t="shared" si="8"/>
        <v>10076.770000000819</v>
      </c>
    </row>
    <row r="46" spans="1:12" ht="12.75" customHeight="1" x14ac:dyDescent="0.25">
      <c r="A46" s="346" t="s">
        <v>170</v>
      </c>
      <c r="B46" s="66"/>
      <c r="C46" s="347"/>
      <c r="D46" s="347"/>
      <c r="E46" s="347"/>
      <c r="F46" s="347"/>
      <c r="G46" s="347"/>
      <c r="H46" s="347"/>
      <c r="I46" s="348"/>
      <c r="J46" s="348"/>
      <c r="K46" s="347"/>
      <c r="L46" s="347"/>
    </row>
    <row r="47" spans="1:12" ht="12.75" customHeight="1" x14ac:dyDescent="0.25">
      <c r="A47" s="349" t="s">
        <v>918</v>
      </c>
      <c r="B47" s="66"/>
      <c r="C47" s="347"/>
      <c r="D47" s="347"/>
      <c r="E47" s="347"/>
      <c r="F47" s="347"/>
      <c r="G47" s="347"/>
      <c r="H47" s="347"/>
      <c r="I47" s="348"/>
      <c r="J47" s="348"/>
      <c r="K47" s="347"/>
      <c r="L47" s="347"/>
    </row>
    <row r="48" spans="1:12" ht="12.75" customHeight="1" x14ac:dyDescent="0.25">
      <c r="A48" s="349" t="s">
        <v>519</v>
      </c>
      <c r="B48" s="66"/>
      <c r="C48" s="347"/>
      <c r="D48" s="347"/>
      <c r="E48" s="347"/>
      <c r="F48" s="347"/>
      <c r="G48" s="347"/>
      <c r="H48" s="347"/>
      <c r="I48" s="348"/>
      <c r="J48" s="348"/>
      <c r="K48" s="347"/>
      <c r="L48" s="347"/>
    </row>
    <row r="49" spans="1:12" ht="12.75" customHeight="1" x14ac:dyDescent="0.25">
      <c r="A49" s="349" t="s">
        <v>520</v>
      </c>
      <c r="B49" s="66"/>
      <c r="C49" s="347"/>
      <c r="D49" s="347"/>
      <c r="E49" s="347"/>
      <c r="F49" s="347"/>
      <c r="G49" s="347"/>
      <c r="H49" s="347"/>
      <c r="I49" s="348"/>
      <c r="J49" s="348"/>
      <c r="K49" s="347"/>
      <c r="L49" s="347"/>
    </row>
    <row r="50" spans="1:12" ht="12.75" customHeight="1" x14ac:dyDescent="0.25">
      <c r="A50" s="349" t="s">
        <v>915</v>
      </c>
      <c r="B50" s="66"/>
      <c r="C50" s="347"/>
      <c r="D50" s="347"/>
      <c r="E50" s="347"/>
      <c r="F50" s="347"/>
      <c r="G50" s="347"/>
      <c r="H50" s="347"/>
      <c r="I50" s="348"/>
      <c r="J50" s="348"/>
      <c r="K50" s="347"/>
      <c r="L50" s="347"/>
    </row>
    <row r="51" spans="1:12" ht="12.75" customHeight="1" x14ac:dyDescent="0.25">
      <c r="A51" s="39" t="s">
        <v>916</v>
      </c>
      <c r="B51" s="66"/>
      <c r="C51" s="61"/>
      <c r="D51" s="61"/>
      <c r="E51" s="61"/>
      <c r="F51" s="61"/>
      <c r="G51" s="61"/>
      <c r="H51" s="61"/>
      <c r="I51" s="61"/>
      <c r="J51" s="61"/>
      <c r="K51" s="61"/>
      <c r="L51" s="60"/>
    </row>
    <row r="52" spans="1:12" ht="11.25" customHeight="1" x14ac:dyDescent="0.25">
      <c r="A52" s="74" t="s">
        <v>917</v>
      </c>
      <c r="B52" s="20"/>
    </row>
    <row r="53" spans="1:12" ht="11.25" customHeight="1" x14ac:dyDescent="0.25">
      <c r="A53" s="156"/>
      <c r="B53" s="20"/>
    </row>
    <row r="54" spans="1:12" ht="11.25" customHeight="1" x14ac:dyDescent="0.25">
      <c r="A54" s="74"/>
      <c r="B54" s="20"/>
    </row>
    <row r="55" spans="1:12" ht="11.25" customHeight="1" x14ac:dyDescent="0.25">
      <c r="A55" s="74"/>
      <c r="B55" s="20"/>
    </row>
    <row r="56" spans="1:12" ht="11.25" customHeight="1" x14ac:dyDescent="0.25">
      <c r="A56" s="74"/>
      <c r="B56" s="20"/>
    </row>
    <row r="57" spans="1:12" ht="11.25" customHeight="1" x14ac:dyDescent="0.25">
      <c r="A57" s="156"/>
      <c r="B57" s="20"/>
    </row>
    <row r="58" spans="1:12" ht="11.25" customHeight="1" x14ac:dyDescent="0.25">
      <c r="A58" s="156"/>
      <c r="B58" s="20"/>
    </row>
    <row r="59" spans="1:12" ht="11.25" customHeight="1" x14ac:dyDescent="0.25">
      <c r="B59" s="20"/>
    </row>
    <row r="60" spans="1:12" ht="11.25" customHeight="1" x14ac:dyDescent="0.25">
      <c r="B60" s="20"/>
    </row>
    <row r="61" spans="1:12" ht="11.25" customHeight="1" x14ac:dyDescent="0.25">
      <c r="B61" s="20"/>
    </row>
    <row r="62" spans="1:12" ht="11.25" customHeight="1" x14ac:dyDescent="0.25">
      <c r="B62" s="20"/>
    </row>
    <row r="63" spans="1:12" ht="11.25" customHeight="1" x14ac:dyDescent="0.25">
      <c r="B63" s="20"/>
    </row>
    <row r="64" spans="1:12" ht="11.25" customHeight="1" x14ac:dyDescent="0.25">
      <c r="B64" s="20"/>
    </row>
    <row r="65" spans="2:2" ht="11.25" customHeight="1" x14ac:dyDescent="0.25">
      <c r="B65" s="20"/>
    </row>
    <row r="66" spans="2:2" ht="11.25" customHeight="1" x14ac:dyDescent="0.25">
      <c r="B66" s="20"/>
    </row>
    <row r="67" spans="2:2" ht="11.25" customHeight="1" x14ac:dyDescent="0.25">
      <c r="B67" s="20"/>
    </row>
    <row r="68" spans="2:2" ht="11.25" customHeight="1" x14ac:dyDescent="0.25">
      <c r="B68" s="20"/>
    </row>
    <row r="69" spans="2:2" ht="11.25" customHeight="1" x14ac:dyDescent="0.25">
      <c r="B69" s="20"/>
    </row>
    <row r="70" spans="2:2" ht="11.25" customHeight="1" x14ac:dyDescent="0.25">
      <c r="B70" s="20"/>
    </row>
    <row r="71" spans="2:2" ht="11.25" customHeight="1" x14ac:dyDescent="0.25">
      <c r="B71" s="20"/>
    </row>
    <row r="72" spans="2:2" ht="11.25" customHeight="1" x14ac:dyDescent="0.25">
      <c r="B72" s="20"/>
    </row>
    <row r="73" spans="2:2" ht="11.25" customHeight="1" x14ac:dyDescent="0.25">
      <c r="B73" s="20"/>
    </row>
    <row r="74" spans="2:2" ht="11.25" customHeight="1" x14ac:dyDescent="0.25">
      <c r="B74" s="20"/>
    </row>
    <row r="75" spans="2:2" ht="11.25" customHeight="1" x14ac:dyDescent="0.25">
      <c r="B75" s="20"/>
    </row>
    <row r="76" spans="2:2" ht="11.25" customHeight="1" x14ac:dyDescent="0.25">
      <c r="B76" s="20"/>
    </row>
    <row r="77" spans="2:2" ht="11.25" customHeight="1" x14ac:dyDescent="0.25">
      <c r="B77" s="20"/>
    </row>
    <row r="78" spans="2:2" ht="11.25" customHeight="1" x14ac:dyDescent="0.25">
      <c r="B78" s="20"/>
    </row>
    <row r="79" spans="2:2" ht="11.25" customHeight="1" x14ac:dyDescent="0.25">
      <c r="B79" s="20"/>
    </row>
    <row r="80" spans="2:2" ht="11.25" customHeight="1" x14ac:dyDescent="0.25">
      <c r="B80" s="20"/>
    </row>
    <row r="81" spans="2:2" ht="11.25" customHeight="1" x14ac:dyDescent="0.25">
      <c r="B81" s="20"/>
    </row>
    <row r="82" spans="2:2" ht="11.25" customHeight="1" x14ac:dyDescent="0.25">
      <c r="B82" s="20"/>
    </row>
    <row r="83" spans="2:2" ht="11.25" customHeight="1" x14ac:dyDescent="0.25">
      <c r="B83" s="20"/>
    </row>
    <row r="84" spans="2:2" ht="11.25" customHeight="1" x14ac:dyDescent="0.25"/>
  </sheetData>
  <sheetProtection password="A35B" sheet="1" objects="1" scenarios="1"/>
  <mergeCells count="3">
    <mergeCell ref="C2:J2"/>
    <mergeCell ref="B2:B4"/>
    <mergeCell ref="A2:A4"/>
  </mergeCells>
  <phoneticPr fontId="2" type="noConversion"/>
  <dataValidations count="1">
    <dataValidation type="whole" allowBlank="1" showInputMessage="1" showErrorMessage="1" sqref="K44:L44 C36:C37 C27:C34 D27:H37 K27:L37 K7:L23 C44:H44 K40:L42 C40:H42 C7:H23">
      <formula1>-999999999999</formula1>
      <formula2>999999999999</formula2>
    </dataValidation>
  </dataValidations>
  <printOptions horizontalCentered="1"/>
  <pageMargins left="0.35433070866141736" right="0.15748031496062992" top="0.78740157480314965" bottom="0.59055118110236227" header="0.51181102362204722" footer="0.39370078740157483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7">
    <tabColor indexed="44"/>
    <pageSetUpPr fitToPage="1"/>
  </sheetPr>
  <dimension ref="A1:M104"/>
  <sheetViews>
    <sheetView showGridLines="0" workbookViewId="0">
      <pane xSplit="2" ySplit="5" topLeftCell="C102" activePane="bottomRight" state="frozen"/>
      <selection sqref="A1:IV65536"/>
      <selection pane="topRight" sqref="A1:IV65536"/>
      <selection pane="bottomLeft" sqref="A1:IV65536"/>
      <selection pane="bottomRight" activeCell="C57" sqref="C57"/>
    </sheetView>
  </sheetViews>
  <sheetFormatPr defaultRowHeight="12.75" x14ac:dyDescent="0.25"/>
  <cols>
    <col min="1" max="1" width="35.7109375" style="20" customWidth="1"/>
    <col min="2" max="2" width="3.140625" style="47" customWidth="1"/>
    <col min="3" max="3" width="10.85546875" style="20" bestFit="1" customWidth="1"/>
    <col min="4" max="8" width="8.7109375" style="20" customWidth="1"/>
    <col min="9" max="10" width="10.140625" style="20" bestFit="1" customWidth="1"/>
    <col min="11" max="11" width="10.85546875" style="20" bestFit="1" customWidth="1"/>
    <col min="12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3" ht="13.5" x14ac:dyDescent="0.25">
      <c r="A1" s="19" t="str">
        <f>MEAB10a&amp;" - "&amp;Date</f>
        <v>Greater Tzaneen Development Agency - Supporting Table SE6a   Adjustments capital expenditure on new assets by asset category - 29/02/2016</v>
      </c>
    </row>
    <row r="2" spans="1:13" ht="38.25" x14ac:dyDescent="0.25">
      <c r="A2" s="440" t="str">
        <f>desc</f>
        <v>Description</v>
      </c>
      <c r="B2" s="438" t="str">
        <f>head27</f>
        <v>Ref</v>
      </c>
      <c r="C2" s="437" t="s">
        <v>911</v>
      </c>
      <c r="D2" s="434"/>
      <c r="E2" s="434"/>
      <c r="F2" s="434"/>
      <c r="G2" s="434"/>
      <c r="H2" s="434"/>
      <c r="I2" s="434"/>
      <c r="J2" s="434"/>
      <c r="K2" s="435"/>
      <c r="L2" s="369" t="s">
        <v>912</v>
      </c>
      <c r="M2" s="108" t="s">
        <v>913</v>
      </c>
    </row>
    <row r="3" spans="1:13" ht="25.5" x14ac:dyDescent="0.25">
      <c r="A3" s="441"/>
      <c r="B3" s="439"/>
      <c r="C3" s="365" t="s">
        <v>138</v>
      </c>
      <c r="D3" s="82" t="s">
        <v>417</v>
      </c>
      <c r="E3" s="82" t="s">
        <v>313</v>
      </c>
      <c r="F3" s="82" t="s">
        <v>24</v>
      </c>
      <c r="G3" s="82" t="s">
        <v>315</v>
      </c>
      <c r="H3" s="82" t="s">
        <v>23</v>
      </c>
      <c r="I3" s="105" t="s">
        <v>314</v>
      </c>
      <c r="J3" s="105" t="s">
        <v>296</v>
      </c>
      <c r="K3" s="105" t="s">
        <v>320</v>
      </c>
      <c r="L3" s="105" t="s">
        <v>320</v>
      </c>
      <c r="M3" s="161" t="s">
        <v>320</v>
      </c>
    </row>
    <row r="4" spans="1:13" x14ac:dyDescent="0.25">
      <c r="A4" s="290"/>
      <c r="B4" s="291"/>
      <c r="C4" s="366"/>
      <c r="D4" s="128">
        <v>7</v>
      </c>
      <c r="E4" s="128">
        <v>8</v>
      </c>
      <c r="F4" s="128">
        <v>9</v>
      </c>
      <c r="G4" s="128">
        <v>10</v>
      </c>
      <c r="H4" s="128">
        <v>11</v>
      </c>
      <c r="I4" s="128">
        <v>12</v>
      </c>
      <c r="J4" s="128">
        <v>13</v>
      </c>
      <c r="K4" s="128">
        <v>14</v>
      </c>
      <c r="L4" s="128"/>
      <c r="M4" s="129"/>
    </row>
    <row r="5" spans="1:13" x14ac:dyDescent="0.25">
      <c r="A5" s="293" t="s">
        <v>193</v>
      </c>
      <c r="B5" s="72">
        <v>1</v>
      </c>
      <c r="C5" s="367" t="s">
        <v>107</v>
      </c>
      <c r="D5" s="368" t="s">
        <v>316</v>
      </c>
      <c r="E5" s="368" t="s">
        <v>77</v>
      </c>
      <c r="F5" s="126" t="s">
        <v>34</v>
      </c>
      <c r="G5" s="126" t="s">
        <v>133</v>
      </c>
      <c r="H5" s="126" t="s">
        <v>12</v>
      </c>
      <c r="I5" s="130" t="s">
        <v>13</v>
      </c>
      <c r="J5" s="130" t="s">
        <v>14</v>
      </c>
      <c r="K5" s="130" t="s">
        <v>910</v>
      </c>
      <c r="L5" s="130"/>
      <c r="M5" s="169"/>
    </row>
    <row r="6" spans="1:13" ht="12.75" customHeight="1" x14ac:dyDescent="0.25">
      <c r="A6" s="333" t="s">
        <v>903</v>
      </c>
      <c r="B6" s="281"/>
      <c r="C6" s="370"/>
      <c r="D6" s="29"/>
      <c r="E6" s="29"/>
      <c r="F6" s="29"/>
      <c r="G6" s="29"/>
      <c r="H6" s="29"/>
      <c r="I6" s="29"/>
      <c r="J6" s="29"/>
      <c r="K6" s="29"/>
      <c r="L6" s="29"/>
      <c r="M6" s="85"/>
    </row>
    <row r="7" spans="1:13" ht="12.75" customHeight="1" x14ac:dyDescent="0.25">
      <c r="A7" s="23"/>
      <c r="B7" s="281"/>
      <c r="C7" s="370"/>
      <c r="D7" s="29"/>
      <c r="E7" s="29"/>
      <c r="F7" s="29"/>
      <c r="G7" s="29"/>
      <c r="H7" s="29"/>
      <c r="I7" s="29"/>
      <c r="J7" s="29"/>
      <c r="K7" s="29"/>
      <c r="L7" s="29"/>
      <c r="M7" s="85"/>
    </row>
    <row r="8" spans="1:13" ht="12.75" customHeight="1" x14ac:dyDescent="0.25">
      <c r="A8" s="269" t="s">
        <v>167</v>
      </c>
      <c r="B8" s="282"/>
      <c r="C8" s="292">
        <f>SE6a!C8+SE6b!C8</f>
        <v>0</v>
      </c>
      <c r="D8" s="292">
        <f>SE6a!D8+SE6b!D8</f>
        <v>0</v>
      </c>
      <c r="E8" s="292">
        <f>SE6a!E8+SE6b!E8</f>
        <v>0</v>
      </c>
      <c r="F8" s="292">
        <f>SE6a!F8+SE6b!F8</f>
        <v>0</v>
      </c>
      <c r="G8" s="292">
        <f>SE6a!G8+SE6b!G8</f>
        <v>0</v>
      </c>
      <c r="H8" s="292">
        <f>SE6a!H8+SE6b!H8</f>
        <v>0</v>
      </c>
      <c r="I8" s="292">
        <f>SE6a!I8+SE6b!I8</f>
        <v>0</v>
      </c>
      <c r="J8" s="371">
        <f>SE6a!J8+SE6b!J8</f>
        <v>0</v>
      </c>
      <c r="K8" s="371">
        <f>SE6a!K8+SE6b!K8</f>
        <v>0</v>
      </c>
      <c r="L8" s="292">
        <f>SE6a!L8+SE6b!L8</f>
        <v>0</v>
      </c>
      <c r="M8" s="405">
        <f>SE6a!M8+SE6b!M8</f>
        <v>0</v>
      </c>
    </row>
    <row r="9" spans="1:13" ht="12.75" customHeight="1" x14ac:dyDescent="0.25">
      <c r="A9" s="406" t="s">
        <v>539</v>
      </c>
      <c r="B9" s="407"/>
      <c r="C9" s="408">
        <f>SE6a!C9+SE6b!C9</f>
        <v>0</v>
      </c>
      <c r="D9" s="408">
        <f>SE6a!D9+SE6b!D9</f>
        <v>0</v>
      </c>
      <c r="E9" s="408">
        <f>SE6a!E9+SE6b!E9</f>
        <v>0</v>
      </c>
      <c r="F9" s="408">
        <f>SE6a!F9+SE6b!F9</f>
        <v>0</v>
      </c>
      <c r="G9" s="408">
        <f>SE6a!G9+SE6b!G9</f>
        <v>0</v>
      </c>
      <c r="H9" s="408">
        <f>SE6a!H9+SE6b!H9</f>
        <v>0</v>
      </c>
      <c r="I9" s="408">
        <f>SE6a!I9+SE6b!I9</f>
        <v>0</v>
      </c>
      <c r="J9" s="33">
        <f>SE6a!J9+SE6b!J9</f>
        <v>0</v>
      </c>
      <c r="K9" s="33">
        <f>SE6a!K9+SE6b!K9</f>
        <v>0</v>
      </c>
      <c r="L9" s="408">
        <f>SE6a!L9+SE6b!L9</f>
        <v>0</v>
      </c>
      <c r="M9" s="409">
        <f>SE6a!M9+SE6b!M9</f>
        <v>0</v>
      </c>
    </row>
    <row r="10" spans="1:13" ht="12.75" customHeight="1" x14ac:dyDescent="0.25">
      <c r="A10" s="270" t="s">
        <v>540</v>
      </c>
      <c r="B10" s="282"/>
      <c r="C10" s="256">
        <f>SE6a!C10+SE6b!C10</f>
        <v>0</v>
      </c>
      <c r="D10" s="256">
        <f>SE6a!D10+SE6b!D10</f>
        <v>0</v>
      </c>
      <c r="E10" s="256">
        <f>SE6a!E10+SE6b!E10</f>
        <v>0</v>
      </c>
      <c r="F10" s="256">
        <f>SE6a!F10+SE6b!F10</f>
        <v>0</v>
      </c>
      <c r="G10" s="256">
        <f>SE6a!G10+SE6b!G10</f>
        <v>0</v>
      </c>
      <c r="H10" s="256">
        <f>SE6a!H10+SE6b!H10</f>
        <v>0</v>
      </c>
      <c r="I10" s="256">
        <f>SE6a!I10+SE6b!I10</f>
        <v>0</v>
      </c>
      <c r="J10" s="29">
        <f>SUM(E10:I10)</f>
        <v>0</v>
      </c>
      <c r="K10" s="29">
        <f>IF(D10=0,C10+J10,D10+J10)</f>
        <v>0</v>
      </c>
      <c r="L10" s="256">
        <f>SE6a!L10+SE6b!L10</f>
        <v>0</v>
      </c>
      <c r="M10" s="257">
        <f>SE6a!M10+SE6b!M10</f>
        <v>0</v>
      </c>
    </row>
    <row r="11" spans="1:13" ht="12.75" customHeight="1" x14ac:dyDescent="0.25">
      <c r="A11" s="270" t="s">
        <v>541</v>
      </c>
      <c r="B11" s="282"/>
      <c r="C11" s="256">
        <f>SE6a!C11+SE6b!C11</f>
        <v>0</v>
      </c>
      <c r="D11" s="256">
        <f>SE6a!D11+SE6b!D11</f>
        <v>0</v>
      </c>
      <c r="E11" s="256">
        <f>SE6a!E11+SE6b!E11</f>
        <v>0</v>
      </c>
      <c r="F11" s="256">
        <f>SE6a!F11+SE6b!F11</f>
        <v>0</v>
      </c>
      <c r="G11" s="256">
        <f>SE6a!G11+SE6b!G11</f>
        <v>0</v>
      </c>
      <c r="H11" s="256">
        <f>SE6a!H11+SE6b!H11</f>
        <v>0</v>
      </c>
      <c r="I11" s="256">
        <f>SE6a!I11+SE6b!I11</f>
        <v>0</v>
      </c>
      <c r="J11" s="29">
        <f>SUM(E11:I11)</f>
        <v>0</v>
      </c>
      <c r="K11" s="29">
        <f>IF(D11=0,C11+J11,D11+J11)</f>
        <v>0</v>
      </c>
      <c r="L11" s="256">
        <f>SE6a!L11+SE6b!L11</f>
        <v>0</v>
      </c>
      <c r="M11" s="257">
        <f>SE6a!M11+SE6b!M11</f>
        <v>0</v>
      </c>
    </row>
    <row r="12" spans="1:13" ht="12.75" customHeight="1" x14ac:dyDescent="0.25">
      <c r="A12" s="406" t="s">
        <v>542</v>
      </c>
      <c r="B12" s="407"/>
      <c r="C12" s="410">
        <f>SE6a!C12+SE6b!C12</f>
        <v>0</v>
      </c>
      <c r="D12" s="410">
        <f>SE6a!D12+SE6b!D12</f>
        <v>0</v>
      </c>
      <c r="E12" s="410">
        <f>SE6a!E12+SE6b!E12</f>
        <v>0</v>
      </c>
      <c r="F12" s="410">
        <f>SE6a!F12+SE6b!F12</f>
        <v>0</v>
      </c>
      <c r="G12" s="410">
        <f>SE6a!G12+SE6b!G12</f>
        <v>0</v>
      </c>
      <c r="H12" s="410">
        <f>SE6a!H12+SE6b!H12</f>
        <v>0</v>
      </c>
      <c r="I12" s="410">
        <f>SE6a!I12+SE6b!I12</f>
        <v>0</v>
      </c>
      <c r="J12" s="33">
        <f>SE6a!J12+SE6b!J12</f>
        <v>0</v>
      </c>
      <c r="K12" s="33">
        <f>SE6a!K12+SE6b!K12</f>
        <v>0</v>
      </c>
      <c r="L12" s="410">
        <f>SE6a!L12+SE6b!L12</f>
        <v>0</v>
      </c>
      <c r="M12" s="411">
        <f>SE6a!M12+SE6b!M12</f>
        <v>0</v>
      </c>
    </row>
    <row r="13" spans="1:13" ht="12.75" customHeight="1" x14ac:dyDescent="0.25">
      <c r="A13" s="270" t="s">
        <v>543</v>
      </c>
      <c r="B13" s="282"/>
      <c r="C13" s="256">
        <f>SE6a!C13+SE6b!C13</f>
        <v>0</v>
      </c>
      <c r="D13" s="256">
        <f>SE6a!D13+SE6b!D13</f>
        <v>0</v>
      </c>
      <c r="E13" s="256">
        <f>SE6a!E13+SE6b!E13</f>
        <v>0</v>
      </c>
      <c r="F13" s="256">
        <f>SE6a!F13+SE6b!F13</f>
        <v>0</v>
      </c>
      <c r="G13" s="256">
        <f>SE6a!G13+SE6b!G13</f>
        <v>0</v>
      </c>
      <c r="H13" s="256">
        <f>SE6a!H13+SE6b!H13</f>
        <v>0</v>
      </c>
      <c r="I13" s="256">
        <f>SE6a!I13+SE6b!I13</f>
        <v>0</v>
      </c>
      <c r="J13" s="29">
        <f>SUM(E13:I13)</f>
        <v>0</v>
      </c>
      <c r="K13" s="29">
        <f>IF(D13=0,C13+J13,D13+J13)</f>
        <v>0</v>
      </c>
      <c r="L13" s="256">
        <f>SE6a!L13+SE6b!L13</f>
        <v>0</v>
      </c>
      <c r="M13" s="257">
        <f>SE6a!M13+SE6b!M13</f>
        <v>0</v>
      </c>
    </row>
    <row r="14" spans="1:13" ht="12.75" customHeight="1" x14ac:dyDescent="0.25">
      <c r="A14" s="270" t="s">
        <v>544</v>
      </c>
      <c r="B14" s="282"/>
      <c r="C14" s="256">
        <f>SE6a!C14+SE6b!C14</f>
        <v>0</v>
      </c>
      <c r="D14" s="256">
        <f>SE6a!D14+SE6b!D14</f>
        <v>0</v>
      </c>
      <c r="E14" s="256">
        <f>SE6a!E14+SE6b!E14</f>
        <v>0</v>
      </c>
      <c r="F14" s="256">
        <f>SE6a!F14+SE6b!F14</f>
        <v>0</v>
      </c>
      <c r="G14" s="256">
        <f>SE6a!G14+SE6b!G14</f>
        <v>0</v>
      </c>
      <c r="H14" s="256">
        <f>SE6a!H14+SE6b!H14</f>
        <v>0</v>
      </c>
      <c r="I14" s="256">
        <f>SE6a!I14+SE6b!I14</f>
        <v>0</v>
      </c>
      <c r="J14" s="29">
        <f>SUM(E14:I14)</f>
        <v>0</v>
      </c>
      <c r="K14" s="29">
        <f>IF(D14=0,C14+J14,D14+J14)</f>
        <v>0</v>
      </c>
      <c r="L14" s="256">
        <f>SE6a!L14+SE6b!L14</f>
        <v>0</v>
      </c>
      <c r="M14" s="257">
        <f>SE6a!M14+SE6b!M14</f>
        <v>0</v>
      </c>
    </row>
    <row r="15" spans="1:13" ht="12.75" customHeight="1" x14ac:dyDescent="0.25">
      <c r="A15" s="270" t="s">
        <v>48</v>
      </c>
      <c r="B15" s="282"/>
      <c r="C15" s="256">
        <f>SE6a!C15+SE6b!C15</f>
        <v>0</v>
      </c>
      <c r="D15" s="256">
        <f>SE6a!D15+SE6b!D15</f>
        <v>0</v>
      </c>
      <c r="E15" s="256">
        <f>SE6a!E15+SE6b!E15</f>
        <v>0</v>
      </c>
      <c r="F15" s="256">
        <f>SE6a!F15+SE6b!F15</f>
        <v>0</v>
      </c>
      <c r="G15" s="256">
        <f>SE6a!G15+SE6b!G15</f>
        <v>0</v>
      </c>
      <c r="H15" s="256">
        <f>SE6a!H15+SE6b!H15</f>
        <v>0</v>
      </c>
      <c r="I15" s="256">
        <f>SE6a!I15+SE6b!I15</f>
        <v>0</v>
      </c>
      <c r="J15" s="29">
        <f>SUM(E15:I15)</f>
        <v>0</v>
      </c>
      <c r="K15" s="29">
        <f>IF(D15=0,C15+J15,D15+J15)</f>
        <v>0</v>
      </c>
      <c r="L15" s="256">
        <f>SE6a!L15+SE6b!L15</f>
        <v>0</v>
      </c>
      <c r="M15" s="257">
        <f>SE6a!M15+SE6b!M15</f>
        <v>0</v>
      </c>
    </row>
    <row r="16" spans="1:13" ht="12.75" customHeight="1" x14ac:dyDescent="0.25">
      <c r="A16" s="412" t="s">
        <v>545</v>
      </c>
      <c r="B16" s="413"/>
      <c r="C16" s="410">
        <f>SE6a!C16+SE6b!C16</f>
        <v>0</v>
      </c>
      <c r="D16" s="410">
        <f>SE6a!D16+SE6b!D16</f>
        <v>0</v>
      </c>
      <c r="E16" s="410">
        <f>SE6a!E16+SE6b!E16</f>
        <v>0</v>
      </c>
      <c r="F16" s="410">
        <f>SE6a!F16+SE6b!F16</f>
        <v>0</v>
      </c>
      <c r="G16" s="410">
        <f>SE6a!G16+SE6b!G16</f>
        <v>0</v>
      </c>
      <c r="H16" s="410">
        <f>SE6a!H16+SE6b!H16</f>
        <v>0</v>
      </c>
      <c r="I16" s="410">
        <f>SE6a!I16+SE6b!I16</f>
        <v>0</v>
      </c>
      <c r="J16" s="33">
        <f>SE6a!J16+SE6b!J16</f>
        <v>0</v>
      </c>
      <c r="K16" s="33">
        <f>SE6a!K16+SE6b!K16</f>
        <v>0</v>
      </c>
      <c r="L16" s="410">
        <f>SE6a!L16+SE6b!L16</f>
        <v>0</v>
      </c>
      <c r="M16" s="411">
        <f>SE6a!M16+SE6b!M16</f>
        <v>0</v>
      </c>
    </row>
    <row r="17" spans="1:13" s="266" customFormat="1" ht="12.75" customHeight="1" x14ac:dyDescent="0.25">
      <c r="A17" s="270" t="s">
        <v>546</v>
      </c>
      <c r="B17" s="282"/>
      <c r="C17" s="256">
        <f>SE6a!C17+SE6b!C17</f>
        <v>0</v>
      </c>
      <c r="D17" s="256">
        <f>SE6a!D17+SE6b!D17</f>
        <v>0</v>
      </c>
      <c r="E17" s="256">
        <f>SE6a!E17+SE6b!E17</f>
        <v>0</v>
      </c>
      <c r="F17" s="256">
        <f>SE6a!F17+SE6b!F17</f>
        <v>0</v>
      </c>
      <c r="G17" s="256">
        <f>SE6a!G17+SE6b!G17</f>
        <v>0</v>
      </c>
      <c r="H17" s="256">
        <f>SE6a!H17+SE6b!H17</f>
        <v>0</v>
      </c>
      <c r="I17" s="256">
        <f>SE6a!I17+SE6b!I17</f>
        <v>0</v>
      </c>
      <c r="J17" s="29">
        <f>SUM(E17:I17)</f>
        <v>0</v>
      </c>
      <c r="K17" s="29">
        <f>IF(D17=0,C17+J17,D17+J17)</f>
        <v>0</v>
      </c>
      <c r="L17" s="256">
        <f>SE6a!L17+SE6b!L17</f>
        <v>0</v>
      </c>
      <c r="M17" s="257">
        <f>SE6a!M17+SE6b!M17</f>
        <v>0</v>
      </c>
    </row>
    <row r="18" spans="1:13" ht="3.75" customHeight="1" x14ac:dyDescent="0.25">
      <c r="A18" s="270" t="s">
        <v>547</v>
      </c>
      <c r="B18" s="282"/>
      <c r="C18" s="256">
        <f>SE6a!C18+SE6b!C18</f>
        <v>0</v>
      </c>
      <c r="D18" s="256">
        <f>SE6a!D18+SE6b!D18</f>
        <v>0</v>
      </c>
      <c r="E18" s="256">
        <f>SE6a!E18+SE6b!E18</f>
        <v>0</v>
      </c>
      <c r="F18" s="256">
        <f>SE6a!F18+SE6b!F18</f>
        <v>0</v>
      </c>
      <c r="G18" s="256">
        <f>SE6a!G18+SE6b!G18</f>
        <v>0</v>
      </c>
      <c r="H18" s="256">
        <f>SE6a!H18+SE6b!H18</f>
        <v>0</v>
      </c>
      <c r="I18" s="256">
        <f>SE6a!I18+SE6b!I18</f>
        <v>0</v>
      </c>
      <c r="J18" s="29">
        <f>SUM(E18:I18)</f>
        <v>0</v>
      </c>
      <c r="K18" s="29">
        <f>IF(D18=0,C18+J18,D18+J18)</f>
        <v>0</v>
      </c>
      <c r="L18" s="256">
        <f>SE6a!L18+SE6b!L18</f>
        <v>0</v>
      </c>
      <c r="M18" s="257">
        <f>SE6a!M18+SE6b!M18</f>
        <v>0</v>
      </c>
    </row>
    <row r="19" spans="1:13" ht="12.75" customHeight="1" x14ac:dyDescent="0.25">
      <c r="A19" s="270" t="s">
        <v>548</v>
      </c>
      <c r="B19" s="282"/>
      <c r="C19" s="256">
        <f>SE6a!C19+SE6b!C19</f>
        <v>0</v>
      </c>
      <c r="D19" s="256">
        <f>SE6a!D19+SE6b!D19</f>
        <v>0</v>
      </c>
      <c r="E19" s="256">
        <f>SE6a!E19+SE6b!E19</f>
        <v>0</v>
      </c>
      <c r="F19" s="256">
        <f>SE6a!F19+SE6b!F19</f>
        <v>0</v>
      </c>
      <c r="G19" s="256">
        <f>SE6a!G19+SE6b!G19</f>
        <v>0</v>
      </c>
      <c r="H19" s="256">
        <f>SE6a!H19+SE6b!H19</f>
        <v>0</v>
      </c>
      <c r="I19" s="256">
        <f>SE6a!I19+SE6b!I19</f>
        <v>0</v>
      </c>
      <c r="J19" s="29">
        <f>SUM(E19:I19)</f>
        <v>0</v>
      </c>
      <c r="K19" s="29">
        <f>IF(D19=0,C19+J19,D19+J19)</f>
        <v>0</v>
      </c>
      <c r="L19" s="256">
        <f>SE6a!L19+SE6b!L19</f>
        <v>0</v>
      </c>
      <c r="M19" s="257">
        <f>SE6a!M19+SE6b!M19</f>
        <v>0</v>
      </c>
    </row>
    <row r="20" spans="1:13" ht="12.75" customHeight="1" x14ac:dyDescent="0.25">
      <c r="A20" s="412" t="s">
        <v>549</v>
      </c>
      <c r="B20" s="407"/>
      <c r="C20" s="410">
        <f>SE6a!C20+SE6b!C20</f>
        <v>0</v>
      </c>
      <c r="D20" s="410">
        <f>SE6a!D20+SE6b!D20</f>
        <v>0</v>
      </c>
      <c r="E20" s="410">
        <f>SE6a!E20+SE6b!E20</f>
        <v>0</v>
      </c>
      <c r="F20" s="410">
        <f>SE6a!F20+SE6b!F20</f>
        <v>0</v>
      </c>
      <c r="G20" s="410">
        <f>SE6a!G20+SE6b!G20</f>
        <v>0</v>
      </c>
      <c r="H20" s="410">
        <f>SE6a!H20+SE6b!H20</f>
        <v>0</v>
      </c>
      <c r="I20" s="410">
        <f>SE6a!I20+SE6b!I20</f>
        <v>0</v>
      </c>
      <c r="J20" s="33">
        <f>SE6a!J20+SE6b!J20</f>
        <v>0</v>
      </c>
      <c r="K20" s="33">
        <f>SE6a!K20+SE6b!K20</f>
        <v>0</v>
      </c>
      <c r="L20" s="410">
        <f>SE6a!L20+SE6b!L20</f>
        <v>0</v>
      </c>
      <c r="M20" s="411">
        <f>SE6a!M20+SE6b!M20</f>
        <v>0</v>
      </c>
    </row>
    <row r="21" spans="1:13" ht="12.75" customHeight="1" x14ac:dyDescent="0.25">
      <c r="A21" s="270" t="s">
        <v>548</v>
      </c>
      <c r="B21" s="282"/>
      <c r="C21" s="256">
        <f>SE6a!C21+SE6b!C21</f>
        <v>0</v>
      </c>
      <c r="D21" s="256">
        <f>SE6a!D21+SE6b!D21</f>
        <v>0</v>
      </c>
      <c r="E21" s="256">
        <f>SE6a!E21+SE6b!E21</f>
        <v>0</v>
      </c>
      <c r="F21" s="256">
        <f>SE6a!F21+SE6b!F21</f>
        <v>0</v>
      </c>
      <c r="G21" s="256">
        <f>SE6a!G21+SE6b!G21</f>
        <v>0</v>
      </c>
      <c r="H21" s="256">
        <f>SE6a!H21+SE6b!H21</f>
        <v>0</v>
      </c>
      <c r="I21" s="256">
        <f>SE6a!I21+SE6b!I21</f>
        <v>0</v>
      </c>
      <c r="J21" s="29">
        <f>SUM(E21:I21)</f>
        <v>0</v>
      </c>
      <c r="K21" s="29">
        <f>IF(D21=0,C21+J21,D21+J21)</f>
        <v>0</v>
      </c>
      <c r="L21" s="256">
        <f>SE6a!L21+SE6b!L21</f>
        <v>0</v>
      </c>
      <c r="M21" s="257">
        <f>SE6a!M21+SE6b!M21</f>
        <v>0</v>
      </c>
    </row>
    <row r="22" spans="1:13" ht="12.75" customHeight="1" x14ac:dyDescent="0.25">
      <c r="A22" s="270" t="s">
        <v>550</v>
      </c>
      <c r="B22" s="282"/>
      <c r="C22" s="256">
        <f>SE6a!C22+SE6b!C22</f>
        <v>0</v>
      </c>
      <c r="D22" s="256">
        <f>SE6a!D22+SE6b!D22</f>
        <v>0</v>
      </c>
      <c r="E22" s="256">
        <f>SE6a!E22+SE6b!E22</f>
        <v>0</v>
      </c>
      <c r="F22" s="256">
        <f>SE6a!F22+SE6b!F22</f>
        <v>0</v>
      </c>
      <c r="G22" s="256">
        <f>SE6a!G22+SE6b!G22</f>
        <v>0</v>
      </c>
      <c r="H22" s="256">
        <f>SE6a!H22+SE6b!H22</f>
        <v>0</v>
      </c>
      <c r="I22" s="256">
        <f>SE6a!I22+SE6b!I22</f>
        <v>0</v>
      </c>
      <c r="J22" s="29">
        <f>SUM(E22:I22)</f>
        <v>0</v>
      </c>
      <c r="K22" s="29">
        <f>IF(D22=0,C22+J22,D22+J22)</f>
        <v>0</v>
      </c>
      <c r="L22" s="256">
        <f>SE6a!L22+SE6b!L22</f>
        <v>0</v>
      </c>
      <c r="M22" s="257">
        <f>SE6a!M22+SE6b!M22</f>
        <v>0</v>
      </c>
    </row>
    <row r="23" spans="1:13" ht="12.75" customHeight="1" x14ac:dyDescent="0.25">
      <c r="A23" s="406" t="s">
        <v>551</v>
      </c>
      <c r="B23" s="407"/>
      <c r="C23" s="410">
        <f>SE6a!C23+SE6b!C23</f>
        <v>0</v>
      </c>
      <c r="D23" s="410">
        <f>SE6a!D23+SE6b!D23</f>
        <v>0</v>
      </c>
      <c r="E23" s="410">
        <f>SE6a!E23+SE6b!E23</f>
        <v>0</v>
      </c>
      <c r="F23" s="410">
        <f>SE6a!F23+SE6b!F23</f>
        <v>0</v>
      </c>
      <c r="G23" s="410">
        <f>SE6a!G23+SE6b!G23</f>
        <v>0</v>
      </c>
      <c r="H23" s="410">
        <f>SE6a!H23+SE6b!H23</f>
        <v>0</v>
      </c>
      <c r="I23" s="410">
        <f>SE6a!I23+SE6b!I23</f>
        <v>0</v>
      </c>
      <c r="J23" s="33">
        <f>SE6a!J23+SE6b!J23</f>
        <v>0</v>
      </c>
      <c r="K23" s="33">
        <f>SE6a!K23+SE6b!K23</f>
        <v>0</v>
      </c>
      <c r="L23" s="410">
        <f>SE6a!L23+SE6b!L23</f>
        <v>0</v>
      </c>
      <c r="M23" s="411">
        <f>SE6a!M23+SE6b!M23</f>
        <v>0</v>
      </c>
    </row>
    <row r="24" spans="1:13" ht="12.75" customHeight="1" x14ac:dyDescent="0.25">
      <c r="A24" s="270" t="s">
        <v>919</v>
      </c>
      <c r="B24" s="282"/>
      <c r="C24" s="256">
        <f>SE6a!C24+SE6b!C24</f>
        <v>0</v>
      </c>
      <c r="D24" s="256">
        <f>SE6a!D24+SE6b!D24</f>
        <v>0</v>
      </c>
      <c r="E24" s="256">
        <f>SE6a!E24+SE6b!E24</f>
        <v>0</v>
      </c>
      <c r="F24" s="256">
        <f>SE6a!F24+SE6b!F24</f>
        <v>0</v>
      </c>
      <c r="G24" s="256">
        <f>SE6a!G24+SE6b!G24</f>
        <v>0</v>
      </c>
      <c r="H24" s="256">
        <f>SE6a!H24+SE6b!H24</f>
        <v>0</v>
      </c>
      <c r="I24" s="256">
        <f>SE6a!I24+SE6b!I24</f>
        <v>0</v>
      </c>
      <c r="J24" s="29">
        <f>SUM(E24:I24)</f>
        <v>0</v>
      </c>
      <c r="K24" s="29">
        <f>IF(D24=0,C24+J24,D24+J24)</f>
        <v>0</v>
      </c>
      <c r="L24" s="256">
        <f>SE6a!L24+SE6b!L24</f>
        <v>0</v>
      </c>
      <c r="M24" s="257">
        <f>SE6a!M24+SE6b!M24</f>
        <v>0</v>
      </c>
    </row>
    <row r="25" spans="1:13" ht="12.75" customHeight="1" x14ac:dyDescent="0.25">
      <c r="A25" s="270" t="s">
        <v>552</v>
      </c>
      <c r="B25" s="282">
        <v>2</v>
      </c>
      <c r="C25" s="256">
        <f>SE6a!C25+SE6b!C25</f>
        <v>0</v>
      </c>
      <c r="D25" s="256">
        <f>SE6a!D25+SE6b!D25</f>
        <v>0</v>
      </c>
      <c r="E25" s="256">
        <f>SE6a!E25+SE6b!E25</f>
        <v>0</v>
      </c>
      <c r="F25" s="256">
        <f>SE6a!F25+SE6b!F25</f>
        <v>0</v>
      </c>
      <c r="G25" s="256">
        <f>SE6a!G25+SE6b!G25</f>
        <v>0</v>
      </c>
      <c r="H25" s="256">
        <f>SE6a!H25+SE6b!H25</f>
        <v>0</v>
      </c>
      <c r="I25" s="256">
        <f>SE6a!I25+SE6b!I25</f>
        <v>0</v>
      </c>
      <c r="J25" s="29">
        <f>SUM(E25:I25)</f>
        <v>0</v>
      </c>
      <c r="K25" s="29">
        <f>IF(D25=0,C25+J25,D25+J25)</f>
        <v>0</v>
      </c>
      <c r="L25" s="256">
        <f>SE6a!L25+SE6b!L25</f>
        <v>0</v>
      </c>
      <c r="M25" s="257">
        <f>SE6a!M25+SE6b!M25</f>
        <v>0</v>
      </c>
    </row>
    <row r="26" spans="1:13" ht="12.75" customHeight="1" x14ac:dyDescent="0.25">
      <c r="A26" s="270" t="s">
        <v>49</v>
      </c>
      <c r="B26" s="282"/>
      <c r="C26" s="256">
        <f>SE6a!C26+SE6b!C26</f>
        <v>0</v>
      </c>
      <c r="D26" s="256">
        <f>SE6a!D26+SE6b!D26</f>
        <v>0</v>
      </c>
      <c r="E26" s="256">
        <f>SE6a!E26+SE6b!E26</f>
        <v>0</v>
      </c>
      <c r="F26" s="256">
        <f>SE6a!F26+SE6b!F26</f>
        <v>0</v>
      </c>
      <c r="G26" s="256">
        <f>SE6a!G26+SE6b!G26</f>
        <v>0</v>
      </c>
      <c r="H26" s="256">
        <f>SE6a!H26+SE6b!H26</f>
        <v>0</v>
      </c>
      <c r="I26" s="256">
        <f>SE6a!I26+SE6b!I26</f>
        <v>0</v>
      </c>
      <c r="J26" s="29">
        <f>SUM(E26:I26)</f>
        <v>0</v>
      </c>
      <c r="K26" s="29">
        <f>IF(D26=0,C26+J26,D26+J26)</f>
        <v>0</v>
      </c>
      <c r="L26" s="256">
        <f>SE6a!L26+SE6b!L26</f>
        <v>0</v>
      </c>
      <c r="M26" s="257">
        <f>SE6a!M26+SE6b!M26</f>
        <v>0</v>
      </c>
    </row>
    <row r="27" spans="1:13" ht="12.75" customHeight="1" x14ac:dyDescent="0.25">
      <c r="A27" s="270" t="s">
        <v>239</v>
      </c>
      <c r="B27" s="282">
        <v>3</v>
      </c>
      <c r="C27" s="256">
        <f>SE6a!C27+SE6b!C27</f>
        <v>0</v>
      </c>
      <c r="D27" s="256">
        <f>SE6a!D27+SE6b!D27</f>
        <v>0</v>
      </c>
      <c r="E27" s="256">
        <f>SE6a!E27+SE6b!E27</f>
        <v>0</v>
      </c>
      <c r="F27" s="256">
        <f>SE6a!F27+SE6b!F27</f>
        <v>0</v>
      </c>
      <c r="G27" s="256">
        <f>SE6a!G27+SE6b!G27</f>
        <v>0</v>
      </c>
      <c r="H27" s="256">
        <f>SE6a!H27+SE6b!H27</f>
        <v>0</v>
      </c>
      <c r="I27" s="256">
        <f>SE6a!I27+SE6b!I27</f>
        <v>0</v>
      </c>
      <c r="J27" s="29">
        <f>SUM(E27:I27)</f>
        <v>0</v>
      </c>
      <c r="K27" s="29">
        <f>IF(D27=0,C27+J27,D27+J27)</f>
        <v>0</v>
      </c>
      <c r="L27" s="256">
        <f>SE6a!L27+SE6b!L27</f>
        <v>0</v>
      </c>
      <c r="M27" s="257">
        <f>SE6a!M27+SE6b!M27</f>
        <v>0</v>
      </c>
    </row>
    <row r="28" spans="1:13" ht="12.75" customHeight="1" x14ac:dyDescent="0.25">
      <c r="A28" s="27"/>
      <c r="B28" s="281"/>
      <c r="C28" s="370"/>
      <c r="D28" s="29"/>
      <c r="E28" s="29"/>
      <c r="F28" s="29"/>
      <c r="G28" s="29"/>
      <c r="H28" s="29"/>
      <c r="I28" s="29"/>
      <c r="J28" s="29"/>
      <c r="K28" s="29"/>
      <c r="L28" s="238"/>
      <c r="M28" s="382"/>
    </row>
    <row r="29" spans="1:13" ht="12.75" customHeight="1" x14ac:dyDescent="0.25">
      <c r="A29" s="23" t="s">
        <v>365</v>
      </c>
      <c r="B29" s="281"/>
      <c r="C29" s="372">
        <f>SE6a!C29+SE6b!C29</f>
        <v>0</v>
      </c>
      <c r="D29" s="33">
        <f>SE6a!D29+SE6b!D29</f>
        <v>0</v>
      </c>
      <c r="E29" s="33">
        <f>SE6a!E29+SE6b!E29</f>
        <v>0</v>
      </c>
      <c r="F29" s="33">
        <f>SE6a!F29+SE6b!F29</f>
        <v>0</v>
      </c>
      <c r="G29" s="33">
        <f>SE6a!G29+SE6b!G29</f>
        <v>0</v>
      </c>
      <c r="H29" s="33">
        <f>SE6a!H29+SE6b!H29</f>
        <v>0</v>
      </c>
      <c r="I29" s="33">
        <f>SE6a!I29+SE6b!I29</f>
        <v>0</v>
      </c>
      <c r="J29" s="33">
        <f>SE6a!J29+SE6b!J29</f>
        <v>0</v>
      </c>
      <c r="K29" s="33">
        <f>SE6a!K29+SE6b!K29</f>
        <v>0</v>
      </c>
      <c r="L29" s="292">
        <f>SE6a!L29+SE6b!L29</f>
        <v>0</v>
      </c>
      <c r="M29" s="295">
        <f>SE6a!M29+SE6b!M29</f>
        <v>0</v>
      </c>
    </row>
    <row r="30" spans="1:13" ht="12.75" customHeight="1" x14ac:dyDescent="0.25">
      <c r="A30" s="265" t="s">
        <v>553</v>
      </c>
      <c r="B30" s="281"/>
      <c r="C30" s="375">
        <f>SE6a!C30+SE6b!C30</f>
        <v>0</v>
      </c>
      <c r="D30" s="256">
        <f>SE6a!D30+SE6b!D30</f>
        <v>0</v>
      </c>
      <c r="E30" s="256">
        <f>SE6a!E30+SE6b!E30</f>
        <v>0</v>
      </c>
      <c r="F30" s="256">
        <f>SE6a!F30+SE6b!F30</f>
        <v>0</v>
      </c>
      <c r="G30" s="256">
        <f>SE6a!G30+SE6b!G30</f>
        <v>0</v>
      </c>
      <c r="H30" s="256">
        <f>SE6a!H30+SE6b!H30</f>
        <v>0</v>
      </c>
      <c r="I30" s="256">
        <f>SE6a!I30+SE6b!I30</f>
        <v>0</v>
      </c>
      <c r="J30" s="29">
        <f t="shared" ref="J30:J43" si="0">SUM(E30:I30)</f>
        <v>0</v>
      </c>
      <c r="K30" s="29">
        <f t="shared" ref="K30:K43" si="1">IF(D30=0,C30+J30,D30+J30)</f>
        <v>0</v>
      </c>
      <c r="L30" s="256">
        <f>SE6a!L30+SE6b!L30</f>
        <v>0</v>
      </c>
      <c r="M30" s="257">
        <f>SE6a!M30+SE6b!M30</f>
        <v>0</v>
      </c>
    </row>
    <row r="31" spans="1:13" ht="12.75" customHeight="1" x14ac:dyDescent="0.25">
      <c r="A31" s="265" t="s">
        <v>554</v>
      </c>
      <c r="B31" s="281"/>
      <c r="C31" s="375">
        <f>SE6a!C31+SE6b!C31</f>
        <v>0</v>
      </c>
      <c r="D31" s="256">
        <f>SE6a!D31+SE6b!D31</f>
        <v>0</v>
      </c>
      <c r="E31" s="256">
        <f>SE6a!E31+SE6b!E31</f>
        <v>0</v>
      </c>
      <c r="F31" s="256">
        <f>SE6a!F31+SE6b!F31</f>
        <v>0</v>
      </c>
      <c r="G31" s="256">
        <f>SE6a!G31+SE6b!G31</f>
        <v>0</v>
      </c>
      <c r="H31" s="256">
        <f>SE6a!H31+SE6b!H31</f>
        <v>0</v>
      </c>
      <c r="I31" s="256">
        <f>SE6a!I31+SE6b!I31</f>
        <v>0</v>
      </c>
      <c r="J31" s="29">
        <f t="shared" si="0"/>
        <v>0</v>
      </c>
      <c r="K31" s="29">
        <f t="shared" si="1"/>
        <v>0</v>
      </c>
      <c r="L31" s="256">
        <f>SE6a!L31+SE6b!L31</f>
        <v>0</v>
      </c>
      <c r="M31" s="257">
        <f>SE6a!M31+SE6b!M31</f>
        <v>0</v>
      </c>
    </row>
    <row r="32" spans="1:13" ht="12.75" customHeight="1" x14ac:dyDescent="0.25">
      <c r="A32" s="265" t="s">
        <v>555</v>
      </c>
      <c r="B32" s="281"/>
      <c r="C32" s="375">
        <f>SE6a!C32+SE6b!C32</f>
        <v>0</v>
      </c>
      <c r="D32" s="256">
        <f>SE6a!D32+SE6b!D32</f>
        <v>0</v>
      </c>
      <c r="E32" s="256">
        <f>SE6a!E32+SE6b!E32</f>
        <v>0</v>
      </c>
      <c r="F32" s="256">
        <f>SE6a!F32+SE6b!F32</f>
        <v>0</v>
      </c>
      <c r="G32" s="256">
        <f>SE6a!G32+SE6b!G32</f>
        <v>0</v>
      </c>
      <c r="H32" s="256">
        <f>SE6a!H32+SE6b!H32</f>
        <v>0</v>
      </c>
      <c r="I32" s="256">
        <f>SE6a!I32+SE6b!I32</f>
        <v>0</v>
      </c>
      <c r="J32" s="29">
        <f t="shared" si="0"/>
        <v>0</v>
      </c>
      <c r="K32" s="29">
        <f t="shared" si="1"/>
        <v>0</v>
      </c>
      <c r="L32" s="256">
        <f>SE6a!L32+SE6b!L32</f>
        <v>0</v>
      </c>
      <c r="M32" s="257">
        <f>SE6a!M32+SE6b!M32</f>
        <v>0</v>
      </c>
    </row>
    <row r="33" spans="1:13" ht="11.25" customHeight="1" x14ac:dyDescent="0.25">
      <c r="A33" s="265" t="s">
        <v>556</v>
      </c>
      <c r="B33" s="281"/>
      <c r="C33" s="375">
        <f>SE6a!C33+SE6b!C33</f>
        <v>0</v>
      </c>
      <c r="D33" s="256">
        <f>SE6a!D33+SE6b!D33</f>
        <v>0</v>
      </c>
      <c r="E33" s="256">
        <f>SE6a!E33+SE6b!E33</f>
        <v>0</v>
      </c>
      <c r="F33" s="256">
        <f>SE6a!F33+SE6b!F33</f>
        <v>0</v>
      </c>
      <c r="G33" s="256">
        <f>SE6a!G33+SE6b!G33</f>
        <v>0</v>
      </c>
      <c r="H33" s="256">
        <f>SE6a!H33+SE6b!H33</f>
        <v>0</v>
      </c>
      <c r="I33" s="256">
        <f>SE6a!I33+SE6b!I33</f>
        <v>0</v>
      </c>
      <c r="J33" s="29">
        <f t="shared" si="0"/>
        <v>0</v>
      </c>
      <c r="K33" s="29">
        <f t="shared" si="1"/>
        <v>0</v>
      </c>
      <c r="L33" s="256">
        <f>SE6a!L33+SE6b!L33</f>
        <v>0</v>
      </c>
      <c r="M33" s="257">
        <f>SE6a!M33+SE6b!M33</f>
        <v>0</v>
      </c>
    </row>
    <row r="34" spans="1:13" ht="12.75" customHeight="1" x14ac:dyDescent="0.25">
      <c r="A34" s="265" t="s">
        <v>89</v>
      </c>
      <c r="B34" s="281"/>
      <c r="C34" s="375">
        <f>SE6a!C34+SE6b!C34</f>
        <v>0</v>
      </c>
      <c r="D34" s="256">
        <f>SE6a!D34+SE6b!D34</f>
        <v>0</v>
      </c>
      <c r="E34" s="256">
        <f>SE6a!E34+SE6b!E34</f>
        <v>0</v>
      </c>
      <c r="F34" s="256">
        <f>SE6a!F34+SE6b!F34</f>
        <v>0</v>
      </c>
      <c r="G34" s="256">
        <f>SE6a!G34+SE6b!G34</f>
        <v>0</v>
      </c>
      <c r="H34" s="256">
        <f>SE6a!H34+SE6b!H34</f>
        <v>0</v>
      </c>
      <c r="I34" s="256">
        <f>SE6a!I34+SE6b!I34</f>
        <v>0</v>
      </c>
      <c r="J34" s="29">
        <f t="shared" si="0"/>
        <v>0</v>
      </c>
      <c r="K34" s="29">
        <f t="shared" si="1"/>
        <v>0</v>
      </c>
      <c r="L34" s="256">
        <f>SE6a!L34+SE6b!L34</f>
        <v>0</v>
      </c>
      <c r="M34" s="257">
        <f>SE6a!M34+SE6b!M34</f>
        <v>0</v>
      </c>
    </row>
    <row r="35" spans="1:13" ht="12.75" customHeight="1" x14ac:dyDescent="0.25">
      <c r="A35" s="265" t="s">
        <v>557</v>
      </c>
      <c r="B35" s="281"/>
      <c r="C35" s="375">
        <f>SE6a!C35+SE6b!C35</f>
        <v>0</v>
      </c>
      <c r="D35" s="256">
        <f>SE6a!D35+SE6b!D35</f>
        <v>0</v>
      </c>
      <c r="E35" s="256">
        <f>SE6a!E35+SE6b!E35</f>
        <v>0</v>
      </c>
      <c r="F35" s="256">
        <f>SE6a!F35+SE6b!F35</f>
        <v>0</v>
      </c>
      <c r="G35" s="256">
        <f>SE6a!G35+SE6b!G35</f>
        <v>0</v>
      </c>
      <c r="H35" s="256">
        <f>SE6a!H35+SE6b!H35</f>
        <v>0</v>
      </c>
      <c r="I35" s="256">
        <f>SE6a!I35+SE6b!I35</f>
        <v>0</v>
      </c>
      <c r="J35" s="29">
        <f t="shared" si="0"/>
        <v>0</v>
      </c>
      <c r="K35" s="29">
        <f t="shared" si="1"/>
        <v>0</v>
      </c>
      <c r="L35" s="256">
        <f>SE6a!L35+SE6b!L35</f>
        <v>0</v>
      </c>
      <c r="M35" s="257">
        <f>SE6a!M35+SE6b!M35</f>
        <v>0</v>
      </c>
    </row>
    <row r="36" spans="1:13" ht="12.75" customHeight="1" x14ac:dyDescent="0.25">
      <c r="A36" s="265" t="s">
        <v>558</v>
      </c>
      <c r="B36" s="281"/>
      <c r="C36" s="375">
        <f>SE6a!C36+SE6b!C36</f>
        <v>0</v>
      </c>
      <c r="D36" s="256">
        <f>SE6a!D36+SE6b!D36</f>
        <v>0</v>
      </c>
      <c r="E36" s="256">
        <f>SE6a!E36+SE6b!E36</f>
        <v>0</v>
      </c>
      <c r="F36" s="256">
        <f>SE6a!F36+SE6b!F36</f>
        <v>0</v>
      </c>
      <c r="G36" s="256">
        <f>SE6a!G36+SE6b!G36</f>
        <v>0</v>
      </c>
      <c r="H36" s="256">
        <f>SE6a!H36+SE6b!H36</f>
        <v>0</v>
      </c>
      <c r="I36" s="256">
        <f>SE6a!I36+SE6b!I36</f>
        <v>0</v>
      </c>
      <c r="J36" s="29">
        <f t="shared" si="0"/>
        <v>0</v>
      </c>
      <c r="K36" s="29">
        <f t="shared" si="1"/>
        <v>0</v>
      </c>
      <c r="L36" s="256">
        <f>SE6a!L36+SE6b!L36</f>
        <v>0</v>
      </c>
      <c r="M36" s="257">
        <f>SE6a!M36+SE6b!M36</f>
        <v>0</v>
      </c>
    </row>
    <row r="37" spans="1:13" ht="12.75" customHeight="1" x14ac:dyDescent="0.25">
      <c r="A37" s="265" t="s">
        <v>559</v>
      </c>
      <c r="B37" s="281"/>
      <c r="C37" s="375">
        <f>SE6a!C37+SE6b!C37</f>
        <v>0</v>
      </c>
      <c r="D37" s="256">
        <f>SE6a!D37+SE6b!D37</f>
        <v>0</v>
      </c>
      <c r="E37" s="256">
        <f>SE6a!E37+SE6b!E37</f>
        <v>0</v>
      </c>
      <c r="F37" s="256">
        <f>SE6a!F37+SE6b!F37</f>
        <v>0</v>
      </c>
      <c r="G37" s="256">
        <f>SE6a!G37+SE6b!G37</f>
        <v>0</v>
      </c>
      <c r="H37" s="256">
        <f>SE6a!H37+SE6b!H37</f>
        <v>0</v>
      </c>
      <c r="I37" s="256">
        <f>SE6a!I37+SE6b!I37</f>
        <v>0</v>
      </c>
      <c r="J37" s="29">
        <f t="shared" si="0"/>
        <v>0</v>
      </c>
      <c r="K37" s="29">
        <f t="shared" si="1"/>
        <v>0</v>
      </c>
      <c r="L37" s="256">
        <f>SE6a!L37+SE6b!L37</f>
        <v>0</v>
      </c>
      <c r="M37" s="257">
        <f>SE6a!M37+SE6b!M37</f>
        <v>0</v>
      </c>
    </row>
    <row r="38" spans="1:13" ht="12.75" customHeight="1" x14ac:dyDescent="0.25">
      <c r="A38" s="265" t="s">
        <v>132</v>
      </c>
      <c r="B38" s="281"/>
      <c r="C38" s="375">
        <f>SE6a!C38+SE6b!C38</f>
        <v>0</v>
      </c>
      <c r="D38" s="256">
        <f>SE6a!D38+SE6b!D38</f>
        <v>0</v>
      </c>
      <c r="E38" s="256">
        <f>SE6a!E38+SE6b!E38</f>
        <v>0</v>
      </c>
      <c r="F38" s="256">
        <f>SE6a!F38+SE6b!F38</f>
        <v>0</v>
      </c>
      <c r="G38" s="256">
        <f>SE6a!G38+SE6b!G38</f>
        <v>0</v>
      </c>
      <c r="H38" s="256">
        <f>SE6a!H38+SE6b!H38</f>
        <v>0</v>
      </c>
      <c r="I38" s="256">
        <f>SE6a!I38+SE6b!I38</f>
        <v>0</v>
      </c>
      <c r="J38" s="29">
        <f t="shared" si="0"/>
        <v>0</v>
      </c>
      <c r="K38" s="29">
        <f t="shared" si="1"/>
        <v>0</v>
      </c>
      <c r="L38" s="256">
        <f>SE6a!L38+SE6b!L38</f>
        <v>0</v>
      </c>
      <c r="M38" s="257">
        <f>SE6a!M38+SE6b!M38</f>
        <v>0</v>
      </c>
    </row>
    <row r="39" spans="1:13" ht="12.75" customHeight="1" x14ac:dyDescent="0.25">
      <c r="A39" s="265" t="s">
        <v>274</v>
      </c>
      <c r="B39" s="281"/>
      <c r="C39" s="375">
        <f>SE6a!C39+SE6b!C39</f>
        <v>0</v>
      </c>
      <c r="D39" s="256">
        <f>SE6a!D39+SE6b!D39</f>
        <v>0</v>
      </c>
      <c r="E39" s="256">
        <f>SE6a!E39+SE6b!E39</f>
        <v>0</v>
      </c>
      <c r="F39" s="256">
        <f>SE6a!F39+SE6b!F39</f>
        <v>0</v>
      </c>
      <c r="G39" s="256">
        <f>SE6a!G39+SE6b!G39</f>
        <v>0</v>
      </c>
      <c r="H39" s="256">
        <f>SE6a!H39+SE6b!H39</f>
        <v>0</v>
      </c>
      <c r="I39" s="256">
        <f>SE6a!I39+SE6b!I39</f>
        <v>0</v>
      </c>
      <c r="J39" s="29">
        <f t="shared" si="0"/>
        <v>0</v>
      </c>
      <c r="K39" s="29">
        <f t="shared" si="1"/>
        <v>0</v>
      </c>
      <c r="L39" s="256">
        <f>SE6a!L39+SE6b!L39</f>
        <v>0</v>
      </c>
      <c r="M39" s="257">
        <f>SE6a!M39+SE6b!M39</f>
        <v>0</v>
      </c>
    </row>
    <row r="40" spans="1:13" ht="12.75" customHeight="1" x14ac:dyDescent="0.25">
      <c r="A40" s="265" t="s">
        <v>275</v>
      </c>
      <c r="B40" s="281"/>
      <c r="C40" s="375">
        <f>SE6a!C40+SE6b!C40</f>
        <v>0</v>
      </c>
      <c r="D40" s="256">
        <f>SE6a!D40+SE6b!D40</f>
        <v>0</v>
      </c>
      <c r="E40" s="256">
        <f>SE6a!E40+SE6b!E40</f>
        <v>0</v>
      </c>
      <c r="F40" s="256">
        <f>SE6a!F40+SE6b!F40</f>
        <v>0</v>
      </c>
      <c r="G40" s="256">
        <f>SE6a!G40+SE6b!G40</f>
        <v>0</v>
      </c>
      <c r="H40" s="256">
        <f>SE6a!H40+SE6b!H40</f>
        <v>0</v>
      </c>
      <c r="I40" s="256">
        <f>SE6a!I40+SE6b!I40</f>
        <v>0</v>
      </c>
      <c r="J40" s="29">
        <f t="shared" si="0"/>
        <v>0</v>
      </c>
      <c r="K40" s="29">
        <f t="shared" si="1"/>
        <v>0</v>
      </c>
      <c r="L40" s="256">
        <f>SE6a!L40+SE6b!L40</f>
        <v>0</v>
      </c>
      <c r="M40" s="257">
        <f>SE6a!M40+SE6b!M40</f>
        <v>0</v>
      </c>
    </row>
    <row r="41" spans="1:13" ht="12.75" customHeight="1" x14ac:dyDescent="0.25">
      <c r="A41" s="265" t="s">
        <v>560</v>
      </c>
      <c r="B41" s="281"/>
      <c r="C41" s="375">
        <f>SE6a!C41+SE6b!C41</f>
        <v>0</v>
      </c>
      <c r="D41" s="256">
        <f>SE6a!D41+SE6b!D41</f>
        <v>0</v>
      </c>
      <c r="E41" s="256">
        <f>SE6a!E41+SE6b!E41</f>
        <v>0</v>
      </c>
      <c r="F41" s="256">
        <f>SE6a!F41+SE6b!F41</f>
        <v>0</v>
      </c>
      <c r="G41" s="256">
        <f>SE6a!G41+SE6b!G41</f>
        <v>0</v>
      </c>
      <c r="H41" s="256">
        <f>SE6a!H41+SE6b!H41</f>
        <v>0</v>
      </c>
      <c r="I41" s="256">
        <f>SE6a!I41+SE6b!I41</f>
        <v>0</v>
      </c>
      <c r="J41" s="29">
        <f t="shared" si="0"/>
        <v>0</v>
      </c>
      <c r="K41" s="29">
        <f t="shared" si="1"/>
        <v>0</v>
      </c>
      <c r="L41" s="256">
        <f>SE6a!L41+SE6b!L41</f>
        <v>0</v>
      </c>
      <c r="M41" s="257">
        <f>SE6a!M41+SE6b!M41</f>
        <v>0</v>
      </c>
    </row>
    <row r="42" spans="1:13" ht="12.75" customHeight="1" x14ac:dyDescent="0.25">
      <c r="A42" s="265" t="s">
        <v>561</v>
      </c>
      <c r="B42" s="281"/>
      <c r="C42" s="375">
        <f>SE6a!C42+SE6b!C42</f>
        <v>0</v>
      </c>
      <c r="D42" s="256">
        <f>SE6a!D42+SE6b!D42</f>
        <v>0</v>
      </c>
      <c r="E42" s="256">
        <f>SE6a!E42+SE6b!E42</f>
        <v>0</v>
      </c>
      <c r="F42" s="256">
        <f>SE6a!F42+SE6b!F42</f>
        <v>0</v>
      </c>
      <c r="G42" s="256">
        <f>SE6a!G42+SE6b!G42</f>
        <v>0</v>
      </c>
      <c r="H42" s="256">
        <f>SE6a!H42+SE6b!H42</f>
        <v>0</v>
      </c>
      <c r="I42" s="256">
        <f>SE6a!I42+SE6b!I42</f>
        <v>0</v>
      </c>
      <c r="J42" s="29">
        <f t="shared" si="0"/>
        <v>0</v>
      </c>
      <c r="K42" s="29">
        <f t="shared" si="1"/>
        <v>0</v>
      </c>
      <c r="L42" s="256">
        <f>SE6a!L42+SE6b!L42</f>
        <v>0</v>
      </c>
      <c r="M42" s="257">
        <f>SE6a!M42+SE6b!M42</f>
        <v>0</v>
      </c>
    </row>
    <row r="43" spans="1:13" ht="12.75" customHeight="1" x14ac:dyDescent="0.25">
      <c r="A43" s="26" t="s">
        <v>239</v>
      </c>
      <c r="B43" s="281"/>
      <c r="C43" s="375">
        <f>SE6a!C43+SE6b!C43</f>
        <v>0</v>
      </c>
      <c r="D43" s="256">
        <f>SE6a!D43+SE6b!D43</f>
        <v>0</v>
      </c>
      <c r="E43" s="256">
        <f>SE6a!E43+SE6b!E43</f>
        <v>0</v>
      </c>
      <c r="F43" s="256">
        <f>SE6a!F43+SE6b!F43</f>
        <v>0</v>
      </c>
      <c r="G43" s="256">
        <f>SE6a!G43+SE6b!G43</f>
        <v>0</v>
      </c>
      <c r="H43" s="256">
        <f>SE6a!H43+SE6b!H43</f>
        <v>0</v>
      </c>
      <c r="I43" s="256">
        <f>SE6a!I43+SE6b!I43</f>
        <v>0</v>
      </c>
      <c r="J43" s="29">
        <f t="shared" si="0"/>
        <v>0</v>
      </c>
      <c r="K43" s="29">
        <f t="shared" si="1"/>
        <v>0</v>
      </c>
      <c r="L43" s="256">
        <f>SE6a!L43+SE6b!L43</f>
        <v>0</v>
      </c>
      <c r="M43" s="257">
        <f>SE6a!M43+SE6b!M43</f>
        <v>0</v>
      </c>
    </row>
    <row r="44" spans="1:13" ht="12.75" customHeight="1" x14ac:dyDescent="0.25">
      <c r="A44" s="27"/>
      <c r="B44" s="281"/>
      <c r="C44" s="370"/>
      <c r="D44" s="29"/>
      <c r="E44" s="29"/>
      <c r="F44" s="29"/>
      <c r="G44" s="29"/>
      <c r="H44" s="29"/>
      <c r="I44" s="29"/>
      <c r="J44" s="29"/>
      <c r="K44" s="29"/>
      <c r="L44" s="238"/>
      <c r="M44" s="382"/>
    </row>
    <row r="45" spans="1:13" ht="12.75" customHeight="1" x14ac:dyDescent="0.25">
      <c r="A45" s="269" t="s">
        <v>194</v>
      </c>
      <c r="B45" s="282"/>
      <c r="C45" s="372">
        <f>SE6a!C45+SE6b!C45</f>
        <v>0</v>
      </c>
      <c r="D45" s="33">
        <f>SE6a!D45+SE6b!D45</f>
        <v>0</v>
      </c>
      <c r="E45" s="33">
        <f>SE6a!E45+SE6b!E45</f>
        <v>0</v>
      </c>
      <c r="F45" s="33">
        <f>SE6a!F45+SE6b!F45</f>
        <v>0</v>
      </c>
      <c r="G45" s="33">
        <f>SE6a!G45+SE6b!G45</f>
        <v>0</v>
      </c>
      <c r="H45" s="33">
        <f>SE6a!H45+SE6b!H45</f>
        <v>0</v>
      </c>
      <c r="I45" s="33">
        <f>SE6a!I45+SE6b!I45</f>
        <v>0</v>
      </c>
      <c r="J45" s="33">
        <f>SE6a!J45+SE6b!J45</f>
        <v>0</v>
      </c>
      <c r="K45" s="33">
        <f>SE6a!K45+SE6b!K45</f>
        <v>0</v>
      </c>
      <c r="L45" s="292">
        <f>SE6a!L45+SE6b!L45</f>
        <v>0</v>
      </c>
      <c r="M45" s="295">
        <f>SE6a!M45+SE6b!M45</f>
        <v>0</v>
      </c>
    </row>
    <row r="46" spans="1:13" ht="12.75" customHeight="1" x14ac:dyDescent="0.25">
      <c r="A46" s="265" t="s">
        <v>562</v>
      </c>
      <c r="B46" s="282"/>
      <c r="C46" s="375">
        <f>SE6a!C46+SE6b!C46</f>
        <v>0</v>
      </c>
      <c r="D46" s="375">
        <f>SE6a!D46+SE6b!D46</f>
        <v>0</v>
      </c>
      <c r="E46" s="375">
        <f>SE6a!E46+SE6b!E46</f>
        <v>0</v>
      </c>
      <c r="F46" s="375">
        <f>SE6a!F46+SE6b!F46</f>
        <v>0</v>
      </c>
      <c r="G46" s="375">
        <f>SE6a!G46+SE6b!G46</f>
        <v>0</v>
      </c>
      <c r="H46" s="375">
        <f>SE6a!H46+SE6b!H46</f>
        <v>0</v>
      </c>
      <c r="I46" s="375">
        <f>SE6a!I46+SE6b!I46</f>
        <v>0</v>
      </c>
      <c r="J46" s="29">
        <f>SUM(E46:I46)</f>
        <v>0</v>
      </c>
      <c r="K46" s="29">
        <f>IF(D46=0,C46+J46,D46+J46)</f>
        <v>0</v>
      </c>
      <c r="L46" s="256">
        <f>SE6a!L46+SE6b!L46</f>
        <v>0</v>
      </c>
      <c r="M46" s="257">
        <f>SE6a!M46+SE6b!M46</f>
        <v>0</v>
      </c>
    </row>
    <row r="47" spans="1:13" ht="12.75" customHeight="1" x14ac:dyDescent="0.25">
      <c r="A47" s="271" t="s">
        <v>239</v>
      </c>
      <c r="B47" s="282"/>
      <c r="C47" s="375">
        <f>SE6a!C47+SE6b!C47</f>
        <v>0</v>
      </c>
      <c r="D47" s="375">
        <f>SE6a!D47+SE6b!D47</f>
        <v>0</v>
      </c>
      <c r="E47" s="375">
        <f>SE6a!E47+SE6b!E47</f>
        <v>0</v>
      </c>
      <c r="F47" s="375">
        <f>SE6a!F47+SE6b!F47</f>
        <v>0</v>
      </c>
      <c r="G47" s="375">
        <f>SE6a!G47+SE6b!G47</f>
        <v>0</v>
      </c>
      <c r="H47" s="375">
        <f>SE6a!H47+SE6b!H47</f>
        <v>0</v>
      </c>
      <c r="I47" s="375">
        <f>SE6a!I47+SE6b!I47</f>
        <v>0</v>
      </c>
      <c r="J47" s="29">
        <f>SUM(E47:I47)</f>
        <v>0</v>
      </c>
      <c r="K47" s="29">
        <f>IF(D47=0,C47+J47,D47+J47)</f>
        <v>0</v>
      </c>
      <c r="L47" s="256">
        <f>SE6a!L47+SE6b!L47</f>
        <v>0</v>
      </c>
      <c r="M47" s="257">
        <f>SE6a!M47+SE6b!M47</f>
        <v>0</v>
      </c>
    </row>
    <row r="48" spans="1:13" ht="12.75" customHeight="1" x14ac:dyDescent="0.25">
      <c r="A48" s="272"/>
      <c r="B48" s="282"/>
      <c r="C48" s="373"/>
      <c r="D48" s="238"/>
      <c r="E48" s="238"/>
      <c r="F48" s="238"/>
      <c r="G48" s="238"/>
      <c r="H48" s="238"/>
      <c r="I48" s="238"/>
      <c r="J48" s="29"/>
      <c r="K48" s="29"/>
      <c r="L48" s="238"/>
      <c r="M48" s="382"/>
    </row>
    <row r="49" spans="1:13" ht="12.75" customHeight="1" x14ac:dyDescent="0.25">
      <c r="A49" s="269" t="s">
        <v>195</v>
      </c>
      <c r="B49" s="282"/>
      <c r="C49" s="372">
        <f>SE6a!C49+SE6b!C49</f>
        <v>0</v>
      </c>
      <c r="D49" s="33">
        <f>SE6a!D49+SE6b!D49</f>
        <v>0</v>
      </c>
      <c r="E49" s="33">
        <f>SE6a!E49+SE6b!E49</f>
        <v>0</v>
      </c>
      <c r="F49" s="33">
        <f>SE6a!F49+SE6b!F49</f>
        <v>0</v>
      </c>
      <c r="G49" s="33">
        <f>SE6a!G49+SE6b!G49</f>
        <v>0</v>
      </c>
      <c r="H49" s="33">
        <f>SE6a!H49+SE6b!H49</f>
        <v>0</v>
      </c>
      <c r="I49" s="33">
        <f>SE6a!I49+SE6b!I49</f>
        <v>0</v>
      </c>
      <c r="J49" s="33">
        <f>SE6a!J49+SE6b!J49</f>
        <v>0</v>
      </c>
      <c r="K49" s="33">
        <f>SE6a!K49+SE6b!K49</f>
        <v>0</v>
      </c>
      <c r="L49" s="292">
        <f>SE6a!L49+SE6b!L49</f>
        <v>0</v>
      </c>
      <c r="M49" s="295">
        <f>SE6a!M49+SE6b!M49</f>
        <v>0</v>
      </c>
    </row>
    <row r="50" spans="1:13" ht="12.75" customHeight="1" x14ac:dyDescent="0.25">
      <c r="A50" s="265" t="s">
        <v>563</v>
      </c>
      <c r="B50" s="282"/>
      <c r="C50" s="375">
        <f>SE6a!C50+SE6b!C50</f>
        <v>0</v>
      </c>
      <c r="D50" s="256">
        <f>SE6a!D50+SE6b!D50</f>
        <v>0</v>
      </c>
      <c r="E50" s="256">
        <f>SE6a!E50+SE6b!E50</f>
        <v>0</v>
      </c>
      <c r="F50" s="256">
        <f>SE6a!F50+SE6b!F50</f>
        <v>0</v>
      </c>
      <c r="G50" s="256">
        <f>SE6a!G50+SE6b!G50</f>
        <v>0</v>
      </c>
      <c r="H50" s="256">
        <f>SE6a!H50+SE6b!H50</f>
        <v>0</v>
      </c>
      <c r="I50" s="256">
        <f>SE6a!I50+SE6b!I50</f>
        <v>0</v>
      </c>
      <c r="J50" s="29">
        <f>SUM(E50:I50)</f>
        <v>0</v>
      </c>
      <c r="K50" s="29">
        <f>IF(D50=0,C50+J50,D50+J50)</f>
        <v>0</v>
      </c>
      <c r="L50" s="256">
        <f>SE6a!L50+SE6b!L50</f>
        <v>0</v>
      </c>
      <c r="M50" s="257">
        <f>SE6a!M50+SE6b!M50</f>
        <v>0</v>
      </c>
    </row>
    <row r="51" spans="1:13" ht="11.25" customHeight="1" x14ac:dyDescent="0.25">
      <c r="A51" s="265" t="s">
        <v>239</v>
      </c>
      <c r="B51" s="282"/>
      <c r="C51" s="375">
        <f>SE6a!C51+SE6b!C51</f>
        <v>0</v>
      </c>
      <c r="D51" s="256">
        <f>SE6a!D51+SE6b!D51</f>
        <v>0</v>
      </c>
      <c r="E51" s="256">
        <f>SE6a!E51+SE6b!E51</f>
        <v>0</v>
      </c>
      <c r="F51" s="256">
        <f>SE6a!F51+SE6b!F51</f>
        <v>0</v>
      </c>
      <c r="G51" s="256">
        <f>SE6a!G51+SE6b!G51</f>
        <v>0</v>
      </c>
      <c r="H51" s="256">
        <f>SE6a!H51+SE6b!H51</f>
        <v>0</v>
      </c>
      <c r="I51" s="256">
        <f>SE6a!I51+SE6b!I51</f>
        <v>0</v>
      </c>
      <c r="J51" s="29">
        <f>SUM(E51:I51)</f>
        <v>0</v>
      </c>
      <c r="K51" s="29">
        <f>IF(D51=0,C51+J51,D51+J51)</f>
        <v>0</v>
      </c>
      <c r="L51" s="256">
        <f>SE6a!L51+SE6b!L51</f>
        <v>0</v>
      </c>
      <c r="M51" s="257">
        <f>SE6a!M51+SE6b!M51</f>
        <v>0</v>
      </c>
    </row>
    <row r="52" spans="1:13" ht="11.25" customHeight="1" x14ac:dyDescent="0.25">
      <c r="A52" s="272"/>
      <c r="B52" s="282"/>
      <c r="C52" s="370"/>
      <c r="D52" s="29"/>
      <c r="E52" s="29"/>
      <c r="F52" s="29"/>
      <c r="G52" s="29"/>
      <c r="H52" s="29"/>
      <c r="I52" s="29"/>
      <c r="J52" s="29"/>
      <c r="K52" s="29"/>
      <c r="L52" s="238"/>
      <c r="M52" s="382"/>
    </row>
    <row r="53" spans="1:13" ht="11.25" customHeight="1" x14ac:dyDescent="0.25">
      <c r="A53" s="23" t="s">
        <v>196</v>
      </c>
      <c r="B53" s="281"/>
      <c r="C53" s="372">
        <f>SE6a!C53+SE6b!C53</f>
        <v>2000</v>
      </c>
      <c r="D53" s="33">
        <f>SE6a!D53+SE6b!D53</f>
        <v>0</v>
      </c>
      <c r="E53" s="33">
        <f>SE6a!E53+SE6b!E53</f>
        <v>0</v>
      </c>
      <c r="F53" s="33">
        <f>SE6a!F53+SE6b!F53</f>
        <v>0</v>
      </c>
      <c r="G53" s="33">
        <f>SE6a!G53+SE6b!G53</f>
        <v>0</v>
      </c>
      <c r="H53" s="33">
        <f>SE6a!H53+SE6b!H53</f>
        <v>0</v>
      </c>
      <c r="I53" s="33">
        <f>SE6a!I53+SE6b!I53</f>
        <v>0</v>
      </c>
      <c r="J53" s="33">
        <f>SE6a!J53+SE6b!J53</f>
        <v>0</v>
      </c>
      <c r="K53" s="33">
        <f>SE6a!K53+SE6b!K53</f>
        <v>2000</v>
      </c>
      <c r="L53" s="292">
        <f>SE6a!L53+SE6b!L53</f>
        <v>0</v>
      </c>
      <c r="M53" s="295">
        <f>SE6a!M53+SE6b!M53</f>
        <v>0</v>
      </c>
    </row>
    <row r="54" spans="1:13" ht="11.25" customHeight="1" x14ac:dyDescent="0.25">
      <c r="A54" s="271" t="s">
        <v>564</v>
      </c>
      <c r="B54" s="281"/>
      <c r="C54" s="375">
        <f>SE6a!C54+SE6b!C54</f>
        <v>0</v>
      </c>
      <c r="D54" s="256">
        <f>SE6a!D54+SE6b!D54</f>
        <v>0</v>
      </c>
      <c r="E54" s="256">
        <f>SE6a!E54+SE6b!E54</f>
        <v>0</v>
      </c>
      <c r="F54" s="256">
        <f>SE6a!F54+SE6b!F54</f>
        <v>0</v>
      </c>
      <c r="G54" s="256">
        <f>SE6a!G54+SE6b!G54</f>
        <v>0</v>
      </c>
      <c r="H54" s="256">
        <f>SE6a!H54+SE6b!H54</f>
        <v>0</v>
      </c>
      <c r="I54" s="256">
        <f>SE6a!I54+SE6b!I54</f>
        <v>0</v>
      </c>
      <c r="J54" s="29">
        <f t="shared" ref="J54:J65" si="2">SUM(E54:I54)</f>
        <v>0</v>
      </c>
      <c r="K54" s="29">
        <f t="shared" ref="K54:K65" si="3">IF(D54=0,C54+J54,D54+J54)</f>
        <v>0</v>
      </c>
      <c r="L54" s="256">
        <f>SE6a!L54+SE6b!L54</f>
        <v>0</v>
      </c>
      <c r="M54" s="257">
        <f>SE6a!M54+SE6b!M54</f>
        <v>0</v>
      </c>
    </row>
    <row r="55" spans="1:13" ht="11.25" customHeight="1" x14ac:dyDescent="0.25">
      <c r="A55" s="271" t="s">
        <v>238</v>
      </c>
      <c r="B55" s="281"/>
      <c r="C55" s="374">
        <f>SE6a!C55+SE6b!C55</f>
        <v>0</v>
      </c>
      <c r="D55" s="312">
        <f>SE6a!D55+SE6b!D55</f>
        <v>0</v>
      </c>
      <c r="E55" s="312">
        <f>SE6a!E55+SE6b!E55</f>
        <v>0</v>
      </c>
      <c r="F55" s="312">
        <f>SE6a!F55+SE6b!F55</f>
        <v>0</v>
      </c>
      <c r="G55" s="312">
        <f>SE6a!G55+SE6b!G55</f>
        <v>0</v>
      </c>
      <c r="H55" s="312">
        <f>SE6a!H55+SE6b!H55</f>
        <v>0</v>
      </c>
      <c r="I55" s="312">
        <f>SE6a!I55+SE6b!I55</f>
        <v>0</v>
      </c>
      <c r="J55" s="312">
        <f t="shared" si="2"/>
        <v>0</v>
      </c>
      <c r="K55" s="312">
        <f t="shared" si="3"/>
        <v>0</v>
      </c>
      <c r="L55" s="312">
        <f>SE6a!L55+SE6b!L55</f>
        <v>0</v>
      </c>
      <c r="M55" s="313">
        <f>SE6a!M55+SE6b!M55</f>
        <v>0</v>
      </c>
    </row>
    <row r="56" spans="1:13" ht="11.25" customHeight="1" x14ac:dyDescent="0.25">
      <c r="A56" s="271" t="s">
        <v>7</v>
      </c>
      <c r="B56" s="281"/>
      <c r="C56" s="375">
        <f>SE6a!C56+SE6b!C56</f>
        <v>0</v>
      </c>
      <c r="D56" s="256">
        <f>SE6a!D56+SE6b!D56</f>
        <v>0</v>
      </c>
      <c r="E56" s="256">
        <f>SE6a!E56+SE6b!E56</f>
        <v>0</v>
      </c>
      <c r="F56" s="256">
        <f>SE6a!F56+SE6b!F56</f>
        <v>0</v>
      </c>
      <c r="G56" s="256">
        <f>SE6a!G56+SE6b!G56</f>
        <v>0</v>
      </c>
      <c r="H56" s="256">
        <f>SE6a!H56+SE6b!H56</f>
        <v>0</v>
      </c>
      <c r="I56" s="256">
        <f>SE6a!I56+SE6b!I56</f>
        <v>0</v>
      </c>
      <c r="J56" s="29">
        <f t="shared" si="2"/>
        <v>0</v>
      </c>
      <c r="K56" s="29">
        <f t="shared" si="3"/>
        <v>0</v>
      </c>
      <c r="L56" s="256">
        <f>SE6a!L56+SE6b!L56</f>
        <v>0</v>
      </c>
      <c r="M56" s="257">
        <f>SE6a!M56+SE6b!M56</f>
        <v>0</v>
      </c>
    </row>
    <row r="57" spans="1:13" ht="11.25" customHeight="1" x14ac:dyDescent="0.25">
      <c r="A57" s="271" t="s">
        <v>565</v>
      </c>
      <c r="B57" s="281"/>
      <c r="C57" s="375">
        <v>2000</v>
      </c>
      <c r="D57" s="256">
        <f>SE6a!D57+SE6b!D57</f>
        <v>0</v>
      </c>
      <c r="E57" s="256">
        <f>SE6a!E57+SE6b!E57</f>
        <v>0</v>
      </c>
      <c r="F57" s="256">
        <f>SE6a!F57+SE6b!F57</f>
        <v>0</v>
      </c>
      <c r="G57" s="256">
        <f>SE6a!G57+SE6b!G57</f>
        <v>0</v>
      </c>
      <c r="H57" s="256">
        <f>SE6a!H57+SE6b!H57</f>
        <v>0</v>
      </c>
      <c r="I57" s="256">
        <f>SE6a!I57+SE6b!I57</f>
        <v>0</v>
      </c>
      <c r="J57" s="29">
        <f t="shared" si="2"/>
        <v>0</v>
      </c>
      <c r="K57" s="29">
        <f t="shared" si="3"/>
        <v>2000</v>
      </c>
      <c r="L57" s="211">
        <f>234701.3</f>
        <v>234701.3</v>
      </c>
      <c r="M57" s="257">
        <v>16149</v>
      </c>
    </row>
    <row r="58" spans="1:13" ht="11.25" customHeight="1" x14ac:dyDescent="0.25">
      <c r="A58" s="271" t="s">
        <v>566</v>
      </c>
      <c r="B58" s="281"/>
      <c r="C58" s="375">
        <f>SE6a!C58+SE6b!C58</f>
        <v>0</v>
      </c>
      <c r="D58" s="256">
        <f>SE6a!D58+SE6b!D58</f>
        <v>0</v>
      </c>
      <c r="E58" s="256">
        <f>SE6a!E58+SE6b!E58</f>
        <v>0</v>
      </c>
      <c r="F58" s="256">
        <f>SE6a!F58+SE6b!F58</f>
        <v>0</v>
      </c>
      <c r="G58" s="256">
        <f>SE6a!G58+SE6b!G58</f>
        <v>0</v>
      </c>
      <c r="H58" s="256">
        <f>SE6a!H58+SE6b!H58</f>
        <v>0</v>
      </c>
      <c r="I58" s="256">
        <f>SE6a!I58+SE6b!I58</f>
        <v>0</v>
      </c>
      <c r="J58" s="29">
        <f t="shared" si="2"/>
        <v>0</v>
      </c>
      <c r="K58" s="29">
        <f t="shared" si="3"/>
        <v>0</v>
      </c>
      <c r="L58" s="256">
        <f>SE6a!L58+SE6b!L58</f>
        <v>0</v>
      </c>
      <c r="M58" s="257">
        <f>SE6a!M58+SE6b!M58</f>
        <v>0</v>
      </c>
    </row>
    <row r="59" spans="1:13" ht="11.25" customHeight="1" x14ac:dyDescent="0.25">
      <c r="A59" s="271" t="s">
        <v>8</v>
      </c>
      <c r="B59" s="281"/>
      <c r="C59" s="375">
        <f>SE6a!C59+SE6b!C59</f>
        <v>0</v>
      </c>
      <c r="D59" s="256">
        <f>SE6a!D59+SE6b!D59</f>
        <v>0</v>
      </c>
      <c r="E59" s="256">
        <f>SE6a!E59+SE6b!E59</f>
        <v>0</v>
      </c>
      <c r="F59" s="256">
        <f>SE6a!F59+SE6b!F59</f>
        <v>0</v>
      </c>
      <c r="G59" s="256">
        <f>SE6a!G59+SE6b!G59</f>
        <v>0</v>
      </c>
      <c r="H59" s="256">
        <f>SE6a!H59+SE6b!H59</f>
        <v>0</v>
      </c>
      <c r="I59" s="256">
        <f>SE6a!I59+SE6b!I59</f>
        <v>0</v>
      </c>
      <c r="J59" s="29">
        <f t="shared" si="2"/>
        <v>0</v>
      </c>
      <c r="K59" s="29">
        <f t="shared" si="3"/>
        <v>0</v>
      </c>
      <c r="L59" s="256">
        <f>SE6a!L59+SE6b!L59</f>
        <v>0</v>
      </c>
      <c r="M59" s="257">
        <f>SE6a!M59+SE6b!M59</f>
        <v>0</v>
      </c>
    </row>
    <row r="60" spans="1:13" ht="11.25" customHeight="1" x14ac:dyDescent="0.25">
      <c r="A60" s="271" t="s">
        <v>9</v>
      </c>
      <c r="B60" s="281"/>
      <c r="C60" s="375">
        <f>SE6a!C60+SE6b!C60</f>
        <v>0</v>
      </c>
      <c r="D60" s="256">
        <f>SE6a!D60+SE6b!D60</f>
        <v>0</v>
      </c>
      <c r="E60" s="256">
        <f>SE6a!E60+SE6b!E60</f>
        <v>0</v>
      </c>
      <c r="F60" s="256">
        <f>SE6a!F60+SE6b!F60</f>
        <v>0</v>
      </c>
      <c r="G60" s="256">
        <f>SE6a!G60+SE6b!G60</f>
        <v>0</v>
      </c>
      <c r="H60" s="256">
        <f>SE6a!H60+SE6b!H60</f>
        <v>0</v>
      </c>
      <c r="I60" s="256">
        <f>SE6a!I60+SE6b!I60</f>
        <v>0</v>
      </c>
      <c r="J60" s="29">
        <f t="shared" si="2"/>
        <v>0</v>
      </c>
      <c r="K60" s="29">
        <f t="shared" si="3"/>
        <v>0</v>
      </c>
      <c r="L60" s="256">
        <f>SE6a!L60+SE6b!L60</f>
        <v>0</v>
      </c>
      <c r="M60" s="257">
        <f>SE6a!M60+SE6b!M60</f>
        <v>0</v>
      </c>
    </row>
    <row r="61" spans="1:13" ht="11.25" customHeight="1" x14ac:dyDescent="0.25">
      <c r="A61" s="271" t="s">
        <v>128</v>
      </c>
      <c r="B61" s="281"/>
      <c r="C61" s="375">
        <f>SE6a!C61+SE6b!C61</f>
        <v>0</v>
      </c>
      <c r="D61" s="256">
        <f>SE6a!D61+SE6b!D61</f>
        <v>0</v>
      </c>
      <c r="E61" s="256">
        <f>SE6a!E61+SE6b!E61</f>
        <v>0</v>
      </c>
      <c r="F61" s="256">
        <f>SE6a!F61+SE6b!F61</f>
        <v>0</v>
      </c>
      <c r="G61" s="256">
        <f>SE6a!G61+SE6b!G61</f>
        <v>0</v>
      </c>
      <c r="H61" s="256">
        <f>SE6a!H61+SE6b!H61</f>
        <v>0</v>
      </c>
      <c r="I61" s="256">
        <f>SE6a!I61+SE6b!I61</f>
        <v>0</v>
      </c>
      <c r="J61" s="29">
        <f t="shared" si="2"/>
        <v>0</v>
      </c>
      <c r="K61" s="29">
        <f t="shared" si="3"/>
        <v>0</v>
      </c>
      <c r="L61" s="256">
        <f>SE6a!L61+SE6b!L61</f>
        <v>0</v>
      </c>
      <c r="M61" s="257">
        <f>SE6a!M61+SE6b!M61</f>
        <v>0</v>
      </c>
    </row>
    <row r="62" spans="1:13" ht="11.25" customHeight="1" x14ac:dyDescent="0.25">
      <c r="A62" s="271" t="s">
        <v>567</v>
      </c>
      <c r="B62" s="281"/>
      <c r="C62" s="375">
        <f>SE6a!C62+SE6b!C62</f>
        <v>0</v>
      </c>
      <c r="D62" s="256">
        <f>SE6a!D62+SE6b!D62</f>
        <v>0</v>
      </c>
      <c r="E62" s="256">
        <f>SE6a!E62+SE6b!E62</f>
        <v>0</v>
      </c>
      <c r="F62" s="256">
        <f>SE6a!F62+SE6b!F62</f>
        <v>0</v>
      </c>
      <c r="G62" s="256">
        <f>SE6a!G62+SE6b!G62</f>
        <v>0</v>
      </c>
      <c r="H62" s="256">
        <f>SE6a!H62+SE6b!H62</f>
        <v>0</v>
      </c>
      <c r="I62" s="256">
        <f>SE6a!I62+SE6b!I62</f>
        <v>0</v>
      </c>
      <c r="J62" s="29">
        <f t="shared" si="2"/>
        <v>0</v>
      </c>
      <c r="K62" s="29">
        <f t="shared" si="3"/>
        <v>0</v>
      </c>
      <c r="L62" s="256">
        <f>SE6a!L62+SE6b!L62</f>
        <v>0</v>
      </c>
      <c r="M62" s="257">
        <f>SE6a!M62+SE6b!M62</f>
        <v>0</v>
      </c>
    </row>
    <row r="63" spans="1:13" ht="11.25" customHeight="1" x14ac:dyDescent="0.25">
      <c r="A63" s="271" t="s">
        <v>568</v>
      </c>
      <c r="B63" s="281"/>
      <c r="C63" s="375">
        <f>SE6a!C63+SE6b!C63</f>
        <v>0</v>
      </c>
      <c r="D63" s="256">
        <f>SE6a!D63+SE6b!D63</f>
        <v>0</v>
      </c>
      <c r="E63" s="256">
        <f>SE6a!E63+SE6b!E63</f>
        <v>0</v>
      </c>
      <c r="F63" s="256">
        <f>SE6a!F63+SE6b!F63</f>
        <v>0</v>
      </c>
      <c r="G63" s="256">
        <f>SE6a!G63+SE6b!G63</f>
        <v>0</v>
      </c>
      <c r="H63" s="256">
        <f>SE6a!H63+SE6b!H63</f>
        <v>0</v>
      </c>
      <c r="I63" s="256">
        <f>SE6a!I63+SE6b!I63</f>
        <v>0</v>
      </c>
      <c r="J63" s="29">
        <f t="shared" si="2"/>
        <v>0</v>
      </c>
      <c r="K63" s="29">
        <f t="shared" si="3"/>
        <v>0</v>
      </c>
      <c r="L63" s="256">
        <f>SE6a!L63+SE6b!L63</f>
        <v>0</v>
      </c>
      <c r="M63" s="257">
        <f>SE6a!M63+SE6b!M63</f>
        <v>0</v>
      </c>
    </row>
    <row r="64" spans="1:13" ht="11.25" customHeight="1" x14ac:dyDescent="0.25">
      <c r="A64" s="271" t="s">
        <v>569</v>
      </c>
      <c r="B64" s="281"/>
      <c r="C64" s="375">
        <f>SE6a!C64+SE6b!C64</f>
        <v>0</v>
      </c>
      <c r="D64" s="256">
        <f>SE6a!D64+SE6b!D64</f>
        <v>0</v>
      </c>
      <c r="E64" s="256">
        <f>SE6a!E64+SE6b!E64</f>
        <v>0</v>
      </c>
      <c r="F64" s="256">
        <f>SE6a!F64+SE6b!F64</f>
        <v>0</v>
      </c>
      <c r="G64" s="256">
        <f>SE6a!G64+SE6b!G64</f>
        <v>0</v>
      </c>
      <c r="H64" s="256">
        <f>SE6a!H64+SE6b!H64</f>
        <v>0</v>
      </c>
      <c r="I64" s="256">
        <f>SE6a!I64+SE6b!I64</f>
        <v>0</v>
      </c>
      <c r="J64" s="29">
        <f t="shared" si="2"/>
        <v>0</v>
      </c>
      <c r="K64" s="29">
        <f t="shared" si="3"/>
        <v>0</v>
      </c>
      <c r="L64" s="256">
        <f>SE6a!L64+SE6b!L64</f>
        <v>0</v>
      </c>
      <c r="M64" s="257">
        <f>SE6a!M64+SE6b!M64</f>
        <v>0</v>
      </c>
    </row>
    <row r="65" spans="1:13" ht="11.25" customHeight="1" x14ac:dyDescent="0.25">
      <c r="A65" s="26" t="s">
        <v>239</v>
      </c>
      <c r="B65" s="281"/>
      <c r="C65" s="375">
        <f>SE6a!C65+SE6b!C65</f>
        <v>0</v>
      </c>
      <c r="D65" s="256">
        <f>SE6a!D65+SE6b!D65</f>
        <v>0</v>
      </c>
      <c r="E65" s="256">
        <f>SE6a!E65+SE6b!E65</f>
        <v>0</v>
      </c>
      <c r="F65" s="256">
        <f>SE6a!F65+SE6b!F65</f>
        <v>0</v>
      </c>
      <c r="G65" s="256">
        <f>SE6a!G65+SE6b!G65</f>
        <v>0</v>
      </c>
      <c r="H65" s="256">
        <f>SE6a!H65+SE6b!H65</f>
        <v>0</v>
      </c>
      <c r="I65" s="256">
        <f>SE6a!I65+SE6b!I65</f>
        <v>0</v>
      </c>
      <c r="J65" s="29">
        <f t="shared" si="2"/>
        <v>0</v>
      </c>
      <c r="K65" s="29">
        <f t="shared" si="3"/>
        <v>0</v>
      </c>
      <c r="L65" s="256">
        <f>SE6a!L65+SE6b!L65</f>
        <v>0</v>
      </c>
      <c r="M65" s="257">
        <f>SE6a!M65+SE6b!M65</f>
        <v>0</v>
      </c>
    </row>
    <row r="66" spans="1:13" ht="11.25" customHeight="1" x14ac:dyDescent="0.25">
      <c r="A66" s="273"/>
      <c r="B66" s="282"/>
      <c r="C66" s="370"/>
      <c r="D66" s="29"/>
      <c r="E66" s="29"/>
      <c r="F66" s="29"/>
      <c r="G66" s="29"/>
      <c r="H66" s="29"/>
      <c r="I66" s="29"/>
      <c r="J66" s="29"/>
      <c r="K66" s="29"/>
      <c r="L66" s="238"/>
      <c r="M66" s="382"/>
    </row>
    <row r="67" spans="1:13" ht="11.25" customHeight="1" x14ac:dyDescent="0.25">
      <c r="A67" s="269" t="s">
        <v>303</v>
      </c>
      <c r="B67" s="282"/>
      <c r="C67" s="372">
        <f>SE6a!C67+SE6b!C67</f>
        <v>0</v>
      </c>
      <c r="D67" s="33">
        <f>SE6a!D67+SE6b!D67</f>
        <v>0</v>
      </c>
      <c r="E67" s="33">
        <f>SE6a!E67+SE6b!E67</f>
        <v>0</v>
      </c>
      <c r="F67" s="33">
        <f>SE6a!F67+SE6b!F67</f>
        <v>0</v>
      </c>
      <c r="G67" s="33">
        <f>SE6a!G67+SE6b!G67</f>
        <v>0</v>
      </c>
      <c r="H67" s="33">
        <f>SE6a!H67+SE6b!H67</f>
        <v>0</v>
      </c>
      <c r="I67" s="33">
        <f>SE6a!I67+SE6b!I67</f>
        <v>0</v>
      </c>
      <c r="J67" s="33">
        <f>SE6a!J67+SE6b!J67</f>
        <v>0</v>
      </c>
      <c r="K67" s="33">
        <f>SE6a!K67+SE6b!K67</f>
        <v>0</v>
      </c>
      <c r="L67" s="292">
        <f>SE6a!L67+SE6b!L67</f>
        <v>0</v>
      </c>
      <c r="M67" s="295">
        <f>SE6a!M67+SE6b!M67</f>
        <v>0</v>
      </c>
    </row>
    <row r="68" spans="1:13" ht="11.25" customHeight="1" x14ac:dyDescent="0.25">
      <c r="A68" s="380"/>
      <c r="B68" s="282"/>
      <c r="C68" s="375"/>
      <c r="D68" s="256"/>
      <c r="E68" s="256"/>
      <c r="F68" s="256"/>
      <c r="G68" s="256"/>
      <c r="H68" s="256"/>
      <c r="I68" s="256"/>
      <c r="J68" s="29"/>
      <c r="K68" s="29"/>
      <c r="L68" s="256"/>
      <c r="M68" s="257"/>
    </row>
    <row r="69" spans="1:13" ht="11.25" customHeight="1" x14ac:dyDescent="0.25">
      <c r="A69" s="380"/>
      <c r="B69" s="282"/>
      <c r="C69" s="375"/>
      <c r="D69" s="256"/>
      <c r="E69" s="256"/>
      <c r="F69" s="256"/>
      <c r="G69" s="256"/>
      <c r="H69" s="256"/>
      <c r="I69" s="256"/>
      <c r="J69" s="29"/>
      <c r="K69" s="29"/>
      <c r="L69" s="256"/>
      <c r="M69" s="257"/>
    </row>
    <row r="70" spans="1:13" ht="11.25" customHeight="1" x14ac:dyDescent="0.25">
      <c r="A70" s="273"/>
      <c r="B70" s="282"/>
      <c r="C70" s="370"/>
      <c r="D70" s="29"/>
      <c r="E70" s="29"/>
      <c r="F70" s="29"/>
      <c r="G70" s="29"/>
      <c r="H70" s="29"/>
      <c r="I70" s="29"/>
      <c r="J70" s="29"/>
      <c r="K70" s="29"/>
      <c r="L70" s="238"/>
      <c r="M70" s="382"/>
    </row>
    <row r="71" spans="1:13" ht="11.25" customHeight="1" x14ac:dyDescent="0.25">
      <c r="A71" s="269" t="s">
        <v>27</v>
      </c>
      <c r="B71" s="282"/>
      <c r="C71" s="372">
        <f>SE6a!C71+SE6b!C71</f>
        <v>0</v>
      </c>
      <c r="D71" s="33">
        <f>SE6a!D71+SE6b!D71</f>
        <v>0</v>
      </c>
      <c r="E71" s="33">
        <f>SE6a!E71+SE6b!E71</f>
        <v>0</v>
      </c>
      <c r="F71" s="33">
        <f>SE6a!F71+SE6b!F71</f>
        <v>0</v>
      </c>
      <c r="G71" s="33">
        <f>SE6a!G71+SE6b!G71</f>
        <v>0</v>
      </c>
      <c r="H71" s="33">
        <f>SE6a!H71+SE6b!H71</f>
        <v>0</v>
      </c>
      <c r="I71" s="33">
        <f>SE6a!I71+SE6b!I71</f>
        <v>0</v>
      </c>
      <c r="J71" s="33">
        <f>SE6a!J71+SE6b!J71</f>
        <v>0</v>
      </c>
      <c r="K71" s="33">
        <f>SE6a!K71+SE6b!K71</f>
        <v>0</v>
      </c>
      <c r="L71" s="292">
        <f>SE6a!L71+SE6b!L71</f>
        <v>0</v>
      </c>
      <c r="M71" s="295">
        <f>SE6a!M71+SE6b!M71</f>
        <v>0</v>
      </c>
    </row>
    <row r="72" spans="1:13" ht="11.25" customHeight="1" x14ac:dyDescent="0.25">
      <c r="A72" s="380"/>
      <c r="B72" s="282"/>
      <c r="C72" s="375"/>
      <c r="D72" s="256"/>
      <c r="E72" s="256"/>
      <c r="F72" s="256"/>
      <c r="G72" s="256"/>
      <c r="H72" s="256"/>
      <c r="I72" s="256"/>
      <c r="J72" s="29"/>
      <c r="K72" s="29"/>
      <c r="L72" s="256"/>
      <c r="M72" s="257"/>
    </row>
    <row r="73" spans="1:13" ht="11.25" customHeight="1" x14ac:dyDescent="0.25">
      <c r="A73" s="380"/>
      <c r="B73" s="282"/>
      <c r="C73" s="375"/>
      <c r="D73" s="256"/>
      <c r="E73" s="256"/>
      <c r="F73" s="256"/>
      <c r="G73" s="256"/>
      <c r="H73" s="256"/>
      <c r="I73" s="256"/>
      <c r="J73" s="29"/>
      <c r="K73" s="29"/>
      <c r="L73" s="256"/>
      <c r="M73" s="257"/>
    </row>
    <row r="74" spans="1:13" ht="11.25" customHeight="1" x14ac:dyDescent="0.25">
      <c r="A74" s="27"/>
      <c r="B74" s="281"/>
      <c r="C74" s="373"/>
      <c r="D74" s="238"/>
      <c r="E74" s="238"/>
      <c r="F74" s="238"/>
      <c r="G74" s="238"/>
      <c r="H74" s="238"/>
      <c r="I74" s="238"/>
      <c r="J74" s="29"/>
      <c r="K74" s="29"/>
      <c r="L74" s="238"/>
      <c r="M74" s="382"/>
    </row>
    <row r="75" spans="1:13" ht="11.25" customHeight="1" x14ac:dyDescent="0.25">
      <c r="A75" s="269" t="s">
        <v>51</v>
      </c>
      <c r="B75" s="282"/>
      <c r="C75" s="372">
        <f>SE6a!C75+SE6b!C75</f>
        <v>0</v>
      </c>
      <c r="D75" s="33">
        <f>SE6a!D75+SE6b!D75</f>
        <v>0</v>
      </c>
      <c r="E75" s="33">
        <f>SE6a!E75+SE6b!E75</f>
        <v>0</v>
      </c>
      <c r="F75" s="33">
        <f>SE6a!F75+SE6b!F75</f>
        <v>0</v>
      </c>
      <c r="G75" s="33">
        <f>SE6a!G75+SE6b!G75</f>
        <v>0</v>
      </c>
      <c r="H75" s="33">
        <f>SE6a!H75+SE6b!H75</f>
        <v>0</v>
      </c>
      <c r="I75" s="33">
        <f>SE6a!I75+SE6b!I75</f>
        <v>0</v>
      </c>
      <c r="J75" s="33">
        <f>SE6a!J75+SE6b!J75</f>
        <v>0</v>
      </c>
      <c r="K75" s="33">
        <f>SE6a!K75+SE6b!K75</f>
        <v>0</v>
      </c>
      <c r="L75" s="292">
        <f>SE6a!L75+SE6b!L75</f>
        <v>0</v>
      </c>
      <c r="M75" s="295">
        <f>SE6a!M75+SE6b!M75</f>
        <v>0</v>
      </c>
    </row>
    <row r="76" spans="1:13" ht="11.25" customHeight="1" x14ac:dyDescent="0.25">
      <c r="A76" s="271"/>
      <c r="B76" s="282"/>
      <c r="C76" s="376"/>
      <c r="D76" s="377"/>
      <c r="E76" s="377"/>
      <c r="F76" s="377"/>
      <c r="G76" s="377"/>
      <c r="H76" s="377"/>
      <c r="I76" s="377"/>
      <c r="J76" s="33"/>
      <c r="K76" s="33"/>
      <c r="L76" s="377"/>
      <c r="M76" s="383"/>
    </row>
    <row r="77" spans="1:13" ht="11.25" customHeight="1" x14ac:dyDescent="0.25">
      <c r="A77" s="381"/>
      <c r="B77" s="282"/>
      <c r="C77" s="375"/>
      <c r="D77" s="256"/>
      <c r="E77" s="256"/>
      <c r="F77" s="256"/>
      <c r="G77" s="256"/>
      <c r="H77" s="256"/>
      <c r="I77" s="256"/>
      <c r="J77" s="29"/>
      <c r="K77" s="29"/>
      <c r="L77" s="29"/>
      <c r="M77" s="85"/>
    </row>
    <row r="78" spans="1:13" ht="11.25" customHeight="1" x14ac:dyDescent="0.25">
      <c r="A78" s="272"/>
      <c r="B78" s="282"/>
      <c r="C78" s="370"/>
      <c r="D78" s="29"/>
      <c r="E78" s="29"/>
      <c r="F78" s="29"/>
      <c r="G78" s="29"/>
      <c r="H78" s="29"/>
      <c r="I78" s="29"/>
      <c r="J78" s="29"/>
      <c r="K78" s="29"/>
      <c r="L78" s="238"/>
      <c r="M78" s="382"/>
    </row>
    <row r="79" spans="1:13" ht="11.25" customHeight="1" x14ac:dyDescent="0.25">
      <c r="A79" s="334" t="s">
        <v>904</v>
      </c>
      <c r="B79" s="284">
        <v>1</v>
      </c>
      <c r="C79" s="121">
        <f>SE6a!C79+SE6b!C79</f>
        <v>2000</v>
      </c>
      <c r="D79" s="35">
        <f>SE6a!D79+SE6b!D79</f>
        <v>0</v>
      </c>
      <c r="E79" s="35">
        <f>SE6a!E79+SE6b!E79</f>
        <v>0</v>
      </c>
      <c r="F79" s="35">
        <f>SE6a!F79+SE6b!F79</f>
        <v>0</v>
      </c>
      <c r="G79" s="35">
        <f>SE6a!G79+SE6b!G79</f>
        <v>0</v>
      </c>
      <c r="H79" s="35">
        <f>SE6a!H79+SE6b!H79</f>
        <v>0</v>
      </c>
      <c r="I79" s="35">
        <f>SE6a!I79+SE6b!I79</f>
        <v>0</v>
      </c>
      <c r="J79" s="35">
        <f>SE6a!J79+SE6b!J79</f>
        <v>0</v>
      </c>
      <c r="K79" s="35">
        <f>SE6a!K79+SE6b!K79</f>
        <v>2000</v>
      </c>
      <c r="L79" s="296">
        <f>SE6a!L79+SE6b!L79</f>
        <v>0</v>
      </c>
      <c r="M79" s="384">
        <f>SE6a!M79+SE6b!M79</f>
        <v>0</v>
      </c>
    </row>
    <row r="80" spans="1:13" ht="11.25" customHeight="1" x14ac:dyDescent="0.25">
      <c r="A80" s="351"/>
      <c r="B80" s="35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418"/>
    </row>
    <row r="81" spans="1:13" ht="11.25" customHeight="1" x14ac:dyDescent="0.25">
      <c r="A81" s="277" t="s">
        <v>238</v>
      </c>
      <c r="B81" s="276"/>
      <c r="C81" s="278">
        <f>SE6a!C81+SE6b!C81</f>
        <v>0</v>
      </c>
      <c r="D81" s="279">
        <f>SE6a!D81+SE6b!D81</f>
        <v>0</v>
      </c>
      <c r="E81" s="279">
        <f>SE6a!E81+SE6b!E81</f>
        <v>0</v>
      </c>
      <c r="F81" s="279">
        <f>SE6a!F81+SE6b!F81</f>
        <v>0</v>
      </c>
      <c r="G81" s="279">
        <f>SE6a!G81+SE6b!G81</f>
        <v>0</v>
      </c>
      <c r="H81" s="279">
        <f>SE6a!H81+SE6b!H81</f>
        <v>0</v>
      </c>
      <c r="I81" s="279">
        <f>SE6a!I81+SE6b!I81</f>
        <v>0</v>
      </c>
      <c r="J81" s="279">
        <f>SE6a!J81+SE6b!J81</f>
        <v>0</v>
      </c>
      <c r="K81" s="279">
        <f>SE6a!K81+SE6b!K81</f>
        <v>0</v>
      </c>
      <c r="L81" s="297">
        <f>SE6a!L81+SE6b!L81</f>
        <v>0</v>
      </c>
      <c r="M81" s="385">
        <f>SE6a!M81+SE6b!M81</f>
        <v>0</v>
      </c>
    </row>
    <row r="82" spans="1:13" ht="11.25" customHeight="1" x14ac:dyDescent="0.25">
      <c r="A82" s="26" t="s">
        <v>92</v>
      </c>
      <c r="B82" s="281"/>
      <c r="C82" s="267">
        <f>SE6a!C82+SE6b!C82</f>
        <v>0</v>
      </c>
      <c r="D82" s="256">
        <f>SE6a!D82+SE6b!D82</f>
        <v>0</v>
      </c>
      <c r="E82" s="256">
        <f>SE6a!E82+SE6b!E82</f>
        <v>0</v>
      </c>
      <c r="F82" s="256">
        <f>SE6a!F82+SE6b!F82</f>
        <v>0</v>
      </c>
      <c r="G82" s="256">
        <f>SE6a!G82+SE6b!G82</f>
        <v>0</v>
      </c>
      <c r="H82" s="256">
        <f>SE6a!H82+SE6b!H82</f>
        <v>0</v>
      </c>
      <c r="I82" s="256">
        <f>SE6a!I82+SE6b!I82</f>
        <v>0</v>
      </c>
      <c r="J82" s="33">
        <f>SE6a!J82+SE6b!J82</f>
        <v>0</v>
      </c>
      <c r="K82" s="33">
        <f>SE6a!K82+SE6b!K82</f>
        <v>0</v>
      </c>
      <c r="L82" s="256">
        <f>SE6a!L82+SE6b!L82</f>
        <v>0</v>
      </c>
      <c r="M82" s="257">
        <f>SE6a!M82+SE6b!M82</f>
        <v>0</v>
      </c>
    </row>
    <row r="83" spans="1:13" ht="11.25" customHeight="1" x14ac:dyDescent="0.25">
      <c r="A83" s="26" t="s">
        <v>129</v>
      </c>
      <c r="B83" s="281"/>
      <c r="C83" s="267">
        <f>SE6a!C83+SE6b!C83</f>
        <v>0</v>
      </c>
      <c r="D83" s="256">
        <f>SE6a!D83+SE6b!D83</f>
        <v>0</v>
      </c>
      <c r="E83" s="256">
        <f>SE6a!E83+SE6b!E83</f>
        <v>0</v>
      </c>
      <c r="F83" s="256">
        <f>SE6a!F83+SE6b!F83</f>
        <v>0</v>
      </c>
      <c r="G83" s="256">
        <f>SE6a!G83+SE6b!G83</f>
        <v>0</v>
      </c>
      <c r="H83" s="256">
        <f>SE6a!H83+SE6b!H83</f>
        <v>0</v>
      </c>
      <c r="I83" s="256">
        <f>SE6a!I83+SE6b!I83</f>
        <v>0</v>
      </c>
      <c r="J83" s="33">
        <f>SE6a!J83+SE6b!J83</f>
        <v>0</v>
      </c>
      <c r="K83" s="33">
        <f>SE6a!K83+SE6b!K83</f>
        <v>0</v>
      </c>
      <c r="L83" s="256">
        <f>SE6a!L83+SE6b!L83</f>
        <v>0</v>
      </c>
      <c r="M83" s="257">
        <f>SE6a!M83+SE6b!M83</f>
        <v>0</v>
      </c>
    </row>
    <row r="84" spans="1:13" ht="11.25" customHeight="1" x14ac:dyDescent="0.25">
      <c r="A84" s="26" t="s">
        <v>130</v>
      </c>
      <c r="B84" s="281"/>
      <c r="C84" s="267">
        <f>SE6a!C84+SE6b!C84</f>
        <v>0</v>
      </c>
      <c r="D84" s="256">
        <f>SE6a!D84+SE6b!D84</f>
        <v>0</v>
      </c>
      <c r="E84" s="256">
        <f>SE6a!E84+SE6b!E84</f>
        <v>0</v>
      </c>
      <c r="F84" s="256">
        <f>SE6a!F84+SE6b!F84</f>
        <v>0</v>
      </c>
      <c r="G84" s="256">
        <f>SE6a!G84+SE6b!G84</f>
        <v>0</v>
      </c>
      <c r="H84" s="256">
        <f>SE6a!H84+SE6b!H84</f>
        <v>0</v>
      </c>
      <c r="I84" s="256">
        <f>SE6a!I84+SE6b!I84</f>
        <v>0</v>
      </c>
      <c r="J84" s="33">
        <f>SE6a!J84+SE6b!J84</f>
        <v>0</v>
      </c>
      <c r="K84" s="33">
        <f>SE6a!K84+SE6b!K84</f>
        <v>0</v>
      </c>
      <c r="L84" s="256">
        <f>SE6a!L84+SE6b!L84</f>
        <v>0</v>
      </c>
      <c r="M84" s="257">
        <f>SE6a!M84+SE6b!M84</f>
        <v>0</v>
      </c>
    </row>
    <row r="85" spans="1:13" ht="11.25" customHeight="1" x14ac:dyDescent="0.25">
      <c r="A85" s="80" t="s">
        <v>131</v>
      </c>
      <c r="B85" s="294"/>
      <c r="C85" s="378">
        <f>SE6a!C85+SE6b!C85</f>
        <v>0</v>
      </c>
      <c r="D85" s="379">
        <f>SE6a!D85+SE6b!D85</f>
        <v>0</v>
      </c>
      <c r="E85" s="379">
        <f>SE6a!E85+SE6b!E85</f>
        <v>0</v>
      </c>
      <c r="F85" s="379">
        <f>SE6a!F85+SE6b!F85</f>
        <v>0</v>
      </c>
      <c r="G85" s="379">
        <f>SE6a!G85+SE6b!G85</f>
        <v>0</v>
      </c>
      <c r="H85" s="379">
        <f>SE6a!H85+SE6b!H85</f>
        <v>0</v>
      </c>
      <c r="I85" s="379">
        <f>SE6a!I85+SE6b!I85</f>
        <v>0</v>
      </c>
      <c r="J85" s="50">
        <f>SE6a!J85+SE6b!J85</f>
        <v>0</v>
      </c>
      <c r="K85" s="50">
        <f>SE6a!K85+SE6b!K85</f>
        <v>0</v>
      </c>
      <c r="L85" s="379">
        <f>SE6a!L85+SE6b!L85</f>
        <v>0</v>
      </c>
      <c r="M85" s="386">
        <f>SE6a!M85+SE6b!M85</f>
        <v>0</v>
      </c>
    </row>
    <row r="86" spans="1:13" ht="11.25" customHeight="1" x14ac:dyDescent="0.25">
      <c r="A86" s="23" t="s">
        <v>920</v>
      </c>
      <c r="B86" s="92"/>
      <c r="C86" s="393"/>
      <c r="D86" s="238"/>
      <c r="E86" s="404"/>
      <c r="F86" s="414"/>
      <c r="G86" s="414"/>
      <c r="H86" s="414"/>
      <c r="I86" s="373"/>
      <c r="J86" s="238"/>
      <c r="K86" s="238"/>
      <c r="L86" s="238"/>
      <c r="M86" s="382"/>
    </row>
    <row r="87" spans="1:13" x14ac:dyDescent="0.25">
      <c r="A87" s="388" t="s">
        <v>921</v>
      </c>
      <c r="B87" s="92"/>
      <c r="C87" s="212"/>
      <c r="D87" s="212"/>
      <c r="E87" s="212"/>
      <c r="F87" s="212"/>
      <c r="G87" s="212"/>
      <c r="H87" s="212"/>
      <c r="I87" s="212"/>
      <c r="J87" s="33">
        <f>SUM(E87:I87)</f>
        <v>0</v>
      </c>
      <c r="K87" s="33">
        <f>SUM(D87:I87)</f>
        <v>0</v>
      </c>
      <c r="L87" s="212"/>
      <c r="M87" s="212"/>
    </row>
    <row r="88" spans="1:13" x14ac:dyDescent="0.25">
      <c r="A88" s="388" t="s">
        <v>922</v>
      </c>
      <c r="B88" s="92"/>
      <c r="C88" s="212"/>
      <c r="D88" s="212"/>
      <c r="E88" s="212"/>
      <c r="F88" s="212"/>
      <c r="G88" s="212"/>
      <c r="H88" s="212"/>
      <c r="I88" s="212"/>
      <c r="J88" s="33">
        <f>SUM(E88:I88)</f>
        <v>0</v>
      </c>
      <c r="K88" s="33">
        <f>SUM(D88:I88)</f>
        <v>0</v>
      </c>
      <c r="L88" s="212"/>
      <c r="M88" s="212"/>
    </row>
    <row r="89" spans="1:13" x14ac:dyDescent="0.25">
      <c r="A89" s="388" t="s">
        <v>923</v>
      </c>
      <c r="B89" s="92"/>
      <c r="C89" s="212"/>
      <c r="D89" s="212"/>
      <c r="E89" s="212"/>
      <c r="F89" s="212"/>
      <c r="G89" s="212"/>
      <c r="H89" s="212"/>
      <c r="I89" s="212"/>
      <c r="J89" s="33">
        <f>SUM(E89:I89)</f>
        <v>0</v>
      </c>
      <c r="K89" s="33">
        <f>SUM(D89:I89)</f>
        <v>0</v>
      </c>
      <c r="L89" s="212"/>
      <c r="M89" s="212"/>
    </row>
    <row r="90" spans="1:13" x14ac:dyDescent="0.25">
      <c r="A90" s="388" t="s">
        <v>924</v>
      </c>
      <c r="B90" s="92"/>
      <c r="C90" s="212"/>
      <c r="D90" s="212"/>
      <c r="E90" s="212"/>
      <c r="F90" s="212"/>
      <c r="G90" s="212"/>
      <c r="H90" s="212"/>
      <c r="I90" s="212"/>
      <c r="J90" s="33">
        <f>SUM(E90:I90)</f>
        <v>0</v>
      </c>
      <c r="K90" s="33">
        <f>SUM(D90:I90)</f>
        <v>0</v>
      </c>
      <c r="L90" s="212"/>
      <c r="M90" s="212"/>
    </row>
    <row r="91" spans="1:13" x14ac:dyDescent="0.25">
      <c r="A91" s="389" t="s">
        <v>414</v>
      </c>
      <c r="B91" s="391"/>
      <c r="C91" s="394">
        <f>SUM(C87:C90)</f>
        <v>0</v>
      </c>
      <c r="D91" s="396">
        <f t="shared" ref="D91:J91" si="4">SUM(D87:D90)</f>
        <v>0</v>
      </c>
      <c r="E91" s="415">
        <f t="shared" si="4"/>
        <v>0</v>
      </c>
      <c r="F91" s="396">
        <f t="shared" si="4"/>
        <v>0</v>
      </c>
      <c r="G91" s="396">
        <f t="shared" si="4"/>
        <v>0</v>
      </c>
      <c r="H91" s="396">
        <f t="shared" si="4"/>
        <v>0</v>
      </c>
      <c r="I91" s="417">
        <f t="shared" si="4"/>
        <v>0</v>
      </c>
      <c r="J91" s="396">
        <f t="shared" si="4"/>
        <v>0</v>
      </c>
      <c r="K91" s="396">
        <f>SUM(K87:K90)</f>
        <v>0</v>
      </c>
      <c r="L91" s="396">
        <f>SUM(L87:L90)</f>
        <v>0</v>
      </c>
      <c r="M91" s="397">
        <f>SUM(M87:M90)</f>
        <v>0</v>
      </c>
    </row>
    <row r="92" spans="1:13" x14ac:dyDescent="0.25">
      <c r="A92" s="390" t="s">
        <v>35</v>
      </c>
      <c r="B92" s="92">
        <v>6</v>
      </c>
      <c r="C92" s="212"/>
      <c r="D92" s="212"/>
      <c r="E92" s="212"/>
      <c r="F92" s="212"/>
      <c r="G92" s="212"/>
      <c r="H92" s="212"/>
      <c r="I92" s="212"/>
      <c r="J92" s="33">
        <f>SUM(E92:I92)</f>
        <v>0</v>
      </c>
      <c r="K92" s="33">
        <f>SUM(D92:I92)</f>
        <v>0</v>
      </c>
      <c r="L92" s="212"/>
      <c r="M92" s="212"/>
    </row>
    <row r="93" spans="1:13" x14ac:dyDescent="0.25">
      <c r="A93" s="390" t="s">
        <v>273</v>
      </c>
      <c r="B93" s="92">
        <v>3</v>
      </c>
      <c r="C93" s="212"/>
      <c r="D93" s="212"/>
      <c r="E93" s="212"/>
      <c r="F93" s="212"/>
      <c r="G93" s="212"/>
      <c r="H93" s="212"/>
      <c r="I93" s="212"/>
      <c r="J93" s="33">
        <f>SUM(E93:I93)</f>
        <v>0</v>
      </c>
      <c r="K93" s="33">
        <f>SUM(D93:I93)</f>
        <v>0</v>
      </c>
      <c r="L93" s="212"/>
      <c r="M93" s="212"/>
    </row>
    <row r="94" spans="1:13" x14ac:dyDescent="0.25">
      <c r="A94" s="390" t="s">
        <v>32</v>
      </c>
      <c r="B94" s="92"/>
      <c r="C94" s="212"/>
      <c r="D94" s="212"/>
      <c r="E94" s="212"/>
      <c r="F94" s="212"/>
      <c r="G94" s="212"/>
      <c r="H94" s="212"/>
      <c r="I94" s="212"/>
      <c r="J94" s="33">
        <f>SUM(E94:I94)</f>
        <v>0</v>
      </c>
      <c r="K94" s="33">
        <f>SUM(D94:I94)</f>
        <v>0</v>
      </c>
      <c r="L94" s="212"/>
      <c r="M94" s="212"/>
    </row>
    <row r="95" spans="1:13" x14ac:dyDescent="0.25">
      <c r="A95" s="34" t="s">
        <v>925</v>
      </c>
      <c r="B95" s="113">
        <v>4</v>
      </c>
      <c r="C95" s="36">
        <f t="shared" ref="C95:J95" si="5">SUM(C91:C94)</f>
        <v>0</v>
      </c>
      <c r="D95" s="35">
        <f t="shared" si="5"/>
        <v>0</v>
      </c>
      <c r="E95" s="416">
        <f t="shared" si="5"/>
        <v>0</v>
      </c>
      <c r="F95" s="35">
        <f t="shared" si="5"/>
        <v>0</v>
      </c>
      <c r="G95" s="35">
        <f t="shared" si="5"/>
        <v>0</v>
      </c>
      <c r="H95" s="35">
        <f t="shared" si="5"/>
        <v>0</v>
      </c>
      <c r="I95" s="121">
        <f t="shared" si="5"/>
        <v>0</v>
      </c>
      <c r="J95" s="35">
        <f t="shared" si="5"/>
        <v>0</v>
      </c>
      <c r="K95" s="35">
        <f>SUM(K91:K94)</f>
        <v>0</v>
      </c>
      <c r="L95" s="35">
        <f>SUM(L91:L94)</f>
        <v>0</v>
      </c>
      <c r="M95" s="112">
        <f>SUM(M91:M94)</f>
        <v>0</v>
      </c>
    </row>
    <row r="96" spans="1:13" x14ac:dyDescent="0.25">
      <c r="A96" s="37" t="s">
        <v>170</v>
      </c>
      <c r="B96" s="38"/>
      <c r="C96" s="42"/>
      <c r="D96" s="42"/>
      <c r="E96" s="42"/>
      <c r="F96" s="42"/>
      <c r="G96" s="42"/>
      <c r="H96" s="42"/>
      <c r="I96" s="42"/>
      <c r="J96" s="42"/>
      <c r="K96" s="42"/>
    </row>
    <row r="97" spans="1:13" x14ac:dyDescent="0.25">
      <c r="A97" s="286" t="s">
        <v>926</v>
      </c>
      <c r="B97" s="38"/>
      <c r="C97" s="41"/>
      <c r="D97" s="41"/>
      <c r="E97" s="42"/>
      <c r="F97" s="42"/>
      <c r="G97" s="42"/>
      <c r="H97" s="42"/>
      <c r="I97" s="42"/>
      <c r="J97" s="42"/>
      <c r="K97" s="42"/>
    </row>
    <row r="98" spans="1:13" x14ac:dyDescent="0.25">
      <c r="A98" s="442" t="s">
        <v>927</v>
      </c>
      <c r="B98" s="442"/>
      <c r="C98" s="442"/>
      <c r="D98" s="442"/>
      <c r="E98" s="442"/>
      <c r="F98" s="442"/>
      <c r="G98" s="442"/>
      <c r="H98" s="442"/>
      <c r="I98" s="442"/>
      <c r="J98" s="442"/>
      <c r="K98" s="442"/>
      <c r="L98" s="442"/>
    </row>
    <row r="99" spans="1:13" x14ac:dyDescent="0.25">
      <c r="A99" s="286" t="s">
        <v>928</v>
      </c>
      <c r="B99" s="392"/>
      <c r="C99" s="392"/>
      <c r="D99" s="392"/>
      <c r="E99" s="392"/>
      <c r="F99" s="392"/>
      <c r="G99" s="392"/>
      <c r="H99" s="392"/>
      <c r="I99" s="392"/>
      <c r="J99" s="392"/>
      <c r="K99" s="392"/>
    </row>
    <row r="100" spans="1:13" x14ac:dyDescent="0.25">
      <c r="A100" s="286" t="s">
        <v>929</v>
      </c>
      <c r="B100" s="392"/>
      <c r="C100" s="392"/>
      <c r="D100" s="392"/>
      <c r="E100" s="392"/>
      <c r="F100" s="392"/>
      <c r="G100" s="392"/>
      <c r="H100" s="392"/>
      <c r="I100" s="392"/>
      <c r="J100" s="392"/>
      <c r="K100" s="392"/>
    </row>
    <row r="101" spans="1:13" x14ac:dyDescent="0.25">
      <c r="A101" s="53" t="s">
        <v>930</v>
      </c>
      <c r="B101" s="38"/>
      <c r="C101" s="41"/>
      <c r="D101" s="41"/>
      <c r="E101" s="42"/>
      <c r="F101" s="42"/>
      <c r="G101" s="42"/>
      <c r="H101" s="42"/>
      <c r="I101" s="42"/>
      <c r="J101" s="42"/>
      <c r="K101" s="42"/>
    </row>
    <row r="102" spans="1:13" x14ac:dyDescent="0.25">
      <c r="B102" s="38"/>
      <c r="C102" s="41"/>
      <c r="D102" s="41"/>
      <c r="E102" s="42"/>
      <c r="F102" s="42"/>
      <c r="G102" s="42"/>
      <c r="H102" s="42"/>
      <c r="I102" s="42"/>
      <c r="J102" s="42"/>
      <c r="K102" s="42"/>
    </row>
    <row r="103" spans="1:13" x14ac:dyDescent="0.25">
      <c r="A103" s="53"/>
      <c r="B103" s="38"/>
      <c r="C103" s="41"/>
      <c r="D103" s="41"/>
      <c r="E103" s="42"/>
      <c r="F103" s="42"/>
      <c r="G103" s="42"/>
      <c r="H103" s="42"/>
      <c r="I103" s="42"/>
      <c r="J103" s="42"/>
      <c r="K103" s="42"/>
    </row>
    <row r="104" spans="1:13" x14ac:dyDescent="0.25">
      <c r="A104" s="44" t="s">
        <v>127</v>
      </c>
      <c r="B104" s="43"/>
      <c r="C104" s="395">
        <f>C79-C95</f>
        <v>2000</v>
      </c>
      <c r="D104" s="395">
        <f t="shared" ref="D104:M104" si="6">D79-D95</f>
        <v>0</v>
      </c>
      <c r="E104" s="395">
        <f t="shared" si="6"/>
        <v>0</v>
      </c>
      <c r="F104" s="395">
        <f t="shared" si="6"/>
        <v>0</v>
      </c>
      <c r="G104" s="395">
        <f t="shared" si="6"/>
        <v>0</v>
      </c>
      <c r="H104" s="395">
        <f t="shared" si="6"/>
        <v>0</v>
      </c>
      <c r="I104" s="395">
        <f t="shared" si="6"/>
        <v>0</v>
      </c>
      <c r="J104" s="395">
        <f t="shared" si="6"/>
        <v>0</v>
      </c>
      <c r="K104" s="395">
        <f t="shared" si="6"/>
        <v>2000</v>
      </c>
      <c r="L104" s="395">
        <f t="shared" si="6"/>
        <v>0</v>
      </c>
      <c r="M104" s="395">
        <f t="shared" si="6"/>
        <v>0</v>
      </c>
    </row>
  </sheetData>
  <sheetProtection password="A35B" sheet="1" objects="1" scenarios="1"/>
  <mergeCells count="4">
    <mergeCell ref="A2:A3"/>
    <mergeCell ref="B2:B3"/>
    <mergeCell ref="C2:K2"/>
    <mergeCell ref="A98:L98"/>
  </mergeCells>
  <phoneticPr fontId="2" type="noConversion"/>
  <dataValidations count="1">
    <dataValidation type="whole" allowBlank="1" showInputMessage="1" showErrorMessage="1" sqref="K82:L85 K10:L11 C10:I11 K13:L15 C13:I15 K17:L19 C17:I19 K21:L22 C21:I22 K24:L28 C30:H43 K30:L43 C24:I27 K46:L47 C50:H51 K50:L52 C54:H65 K54:L65 C68:H69 K68:L69 C72:H73 K72:L74 C76:H77 K76:L77 C82:H85 C46:I47">
      <formula1>-99999999999</formula1>
      <formula2>999999999999</formula2>
    </dataValidation>
  </dataValidations>
  <printOptions horizontalCentered="1"/>
  <pageMargins left="0.36" right="0.17" top="0.78" bottom="0.6" header="0.51181102362204722" footer="0.41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indexed="44"/>
    <pageSetUpPr fitToPage="1"/>
  </sheetPr>
  <dimension ref="A1:L92"/>
  <sheetViews>
    <sheetView showGridLines="0" workbookViewId="0">
      <pane xSplit="2" ySplit="5" topLeftCell="C54" activePane="bottomRight" state="frozen"/>
      <selection sqref="A1:IV65536"/>
      <selection pane="topRight" sqref="A1:IV65536"/>
      <selection pane="bottomLeft" sqref="A1:IV65536"/>
      <selection pane="bottomRight" activeCell="O39" sqref="O39"/>
    </sheetView>
  </sheetViews>
  <sheetFormatPr defaultRowHeight="12.75" x14ac:dyDescent="0.25"/>
  <cols>
    <col min="1" max="1" width="30.7109375" style="20" customWidth="1"/>
    <col min="2" max="2" width="3.140625" style="47" customWidth="1"/>
    <col min="3" max="12" width="8.7109375" style="20" customWidth="1"/>
    <col min="13" max="13" width="9.85546875" style="20" customWidth="1"/>
    <col min="14" max="16" width="9.5703125" style="20" customWidth="1"/>
    <col min="17" max="17" width="9.85546875" style="20" customWidth="1"/>
    <col min="18" max="20" width="9.5703125" style="20" customWidth="1"/>
    <col min="21" max="22" width="9.85546875" style="20" customWidth="1"/>
    <col min="23" max="16384" width="9.140625" style="20"/>
  </cols>
  <sheetData>
    <row r="1" spans="1:12" ht="13.5" x14ac:dyDescent="0.25">
      <c r="A1" s="19" t="str">
        <f>MEAB3&amp;" - "&amp;Date</f>
        <v>Greater Tzaneen Development Agency - Table E4 Adjustments Budget - Financial Position - 29/02/2016</v>
      </c>
    </row>
    <row r="2" spans="1:12" ht="38.25" x14ac:dyDescent="0.25">
      <c r="A2" s="438" t="str">
        <f>desc</f>
        <v>Description</v>
      </c>
      <c r="B2" s="438" t="str">
        <f>head27</f>
        <v>Ref</v>
      </c>
      <c r="C2" s="437" t="str">
        <f>Head9</f>
        <v>Budget Year 2015/16</v>
      </c>
      <c r="D2" s="434"/>
      <c r="E2" s="434"/>
      <c r="F2" s="434"/>
      <c r="G2" s="434"/>
      <c r="H2" s="434"/>
      <c r="I2" s="434"/>
      <c r="J2" s="435"/>
      <c r="K2" s="21" t="str">
        <f>Head10</f>
        <v>Budget Year +1 2016/17</v>
      </c>
      <c r="L2" s="83" t="str">
        <f>Head11</f>
        <v>Budget Year +2 2017/18</v>
      </c>
    </row>
    <row r="3" spans="1:12" ht="25.5" x14ac:dyDescent="0.25">
      <c r="A3" s="439"/>
      <c r="B3" s="439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39"/>
      <c r="B4" s="439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22" t="s">
        <v>193</v>
      </c>
      <c r="B5" s="101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ht="12.75" customHeight="1" x14ac:dyDescent="0.25">
      <c r="A6" s="58" t="s">
        <v>80</v>
      </c>
      <c r="B6" s="92"/>
      <c r="C6" s="30"/>
      <c r="D6" s="29"/>
      <c r="E6" s="29"/>
      <c r="F6" s="29"/>
      <c r="G6" s="29"/>
      <c r="H6" s="29"/>
      <c r="I6" s="29"/>
      <c r="J6" s="29"/>
      <c r="K6" s="29"/>
      <c r="L6" s="85"/>
    </row>
    <row r="7" spans="1:12" ht="12.75" customHeight="1" x14ac:dyDescent="0.25">
      <c r="A7" s="58" t="s">
        <v>81</v>
      </c>
      <c r="B7" s="92"/>
      <c r="C7" s="30"/>
      <c r="D7" s="29"/>
      <c r="E7" s="29"/>
      <c r="F7" s="29"/>
      <c r="G7" s="29"/>
      <c r="H7" s="29"/>
      <c r="I7" s="29"/>
      <c r="J7" s="29"/>
      <c r="K7" s="29"/>
      <c r="L7" s="85"/>
    </row>
    <row r="8" spans="1:12" ht="12.75" customHeight="1" x14ac:dyDescent="0.25">
      <c r="A8" s="26" t="s">
        <v>283</v>
      </c>
      <c r="B8" s="92">
        <v>1</v>
      </c>
      <c r="C8" s="211">
        <v>7345</v>
      </c>
      <c r="D8" s="212"/>
      <c r="E8" s="212"/>
      <c r="F8" s="212"/>
      <c r="G8" s="212"/>
      <c r="H8" s="212"/>
      <c r="I8" s="29">
        <f t="shared" ref="I8:I13" si="0">SUM(E8:H8)</f>
        <v>0</v>
      </c>
      <c r="J8" s="29">
        <f t="shared" ref="J8:J13" si="1">IF(D8=0,C8+I8,D8+I8)</f>
        <v>7345</v>
      </c>
      <c r="K8" s="212"/>
      <c r="L8" s="213"/>
    </row>
    <row r="9" spans="1:12" ht="12.75" customHeight="1" x14ac:dyDescent="0.25">
      <c r="A9" s="26" t="s">
        <v>126</v>
      </c>
      <c r="B9" s="92">
        <v>1</v>
      </c>
      <c r="C9" s="211">
        <f>14170+187688</f>
        <v>201858</v>
      </c>
      <c r="D9" s="212"/>
      <c r="E9" s="212"/>
      <c r="F9" s="212"/>
      <c r="G9" s="212"/>
      <c r="H9" s="212"/>
      <c r="I9" s="29">
        <f t="shared" si="0"/>
        <v>0</v>
      </c>
      <c r="J9" s="29">
        <f t="shared" si="1"/>
        <v>201858</v>
      </c>
      <c r="K9" s="212"/>
      <c r="L9" s="213"/>
    </row>
    <row r="10" spans="1:12" ht="12.75" customHeight="1" x14ac:dyDescent="0.25">
      <c r="A10" s="26" t="s">
        <v>124</v>
      </c>
      <c r="B10" s="92"/>
      <c r="C10" s="211"/>
      <c r="D10" s="212"/>
      <c r="E10" s="212"/>
      <c r="F10" s="212"/>
      <c r="G10" s="212"/>
      <c r="H10" s="212"/>
      <c r="I10" s="29">
        <f t="shared" si="0"/>
        <v>0</v>
      </c>
      <c r="J10" s="29">
        <f t="shared" si="1"/>
        <v>0</v>
      </c>
      <c r="K10" s="212"/>
      <c r="L10" s="213"/>
    </row>
    <row r="11" spans="1:12" ht="12.75" customHeight="1" x14ac:dyDescent="0.25">
      <c r="A11" s="26" t="s">
        <v>125</v>
      </c>
      <c r="B11" s="92"/>
      <c r="C11" s="212">
        <v>3386</v>
      </c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3386</v>
      </c>
      <c r="K11" s="212"/>
      <c r="L11" s="213"/>
    </row>
    <row r="12" spans="1:12" ht="12.75" customHeight="1" x14ac:dyDescent="0.25">
      <c r="A12" s="26" t="s">
        <v>284</v>
      </c>
      <c r="B12" s="92"/>
      <c r="C12" s="211"/>
      <c r="D12" s="212"/>
      <c r="E12" s="212"/>
      <c r="F12" s="212"/>
      <c r="G12" s="212"/>
      <c r="H12" s="212"/>
      <c r="I12" s="29">
        <f t="shared" si="0"/>
        <v>0</v>
      </c>
      <c r="J12" s="29">
        <f t="shared" si="1"/>
        <v>0</v>
      </c>
      <c r="K12" s="212"/>
      <c r="L12" s="213"/>
    </row>
    <row r="13" spans="1:12" ht="12.75" customHeight="1" x14ac:dyDescent="0.25">
      <c r="A13" s="26" t="s">
        <v>123</v>
      </c>
      <c r="B13" s="92"/>
      <c r="C13" s="211"/>
      <c r="D13" s="212"/>
      <c r="E13" s="212"/>
      <c r="F13" s="212"/>
      <c r="G13" s="212"/>
      <c r="H13" s="212"/>
      <c r="I13" s="29">
        <f t="shared" si="0"/>
        <v>0</v>
      </c>
      <c r="J13" s="29">
        <f t="shared" si="1"/>
        <v>0</v>
      </c>
      <c r="K13" s="212"/>
      <c r="L13" s="213"/>
    </row>
    <row r="14" spans="1:12" ht="12.75" customHeight="1" x14ac:dyDescent="0.25">
      <c r="A14" s="59" t="s">
        <v>153</v>
      </c>
      <c r="B14" s="110"/>
      <c r="C14" s="49">
        <f t="shared" ref="C14:J14" si="2">SUM(C8:C13)</f>
        <v>212589</v>
      </c>
      <c r="D14" s="48">
        <f t="shared" si="2"/>
        <v>0</v>
      </c>
      <c r="E14" s="48">
        <f t="shared" si="2"/>
        <v>0</v>
      </c>
      <c r="F14" s="48">
        <f t="shared" si="2"/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  <c r="J14" s="48">
        <f t="shared" si="2"/>
        <v>212589</v>
      </c>
      <c r="K14" s="48">
        <f>SUM(K8:K13)</f>
        <v>0</v>
      </c>
      <c r="L14" s="86">
        <f>SUM(L8:L13)</f>
        <v>0</v>
      </c>
    </row>
    <row r="15" spans="1:12" ht="5.0999999999999996" customHeight="1" x14ac:dyDescent="0.25">
      <c r="A15" s="27"/>
      <c r="B15" s="92"/>
      <c r="C15" s="30"/>
      <c r="D15" s="29"/>
      <c r="E15" s="29"/>
      <c r="F15" s="29"/>
      <c r="G15" s="29"/>
      <c r="H15" s="29"/>
      <c r="I15" s="29"/>
      <c r="J15" s="29"/>
      <c r="K15" s="29"/>
      <c r="L15" s="85"/>
    </row>
    <row r="16" spans="1:12" ht="12.75" customHeight="1" x14ac:dyDescent="0.25">
      <c r="A16" s="58" t="s">
        <v>18</v>
      </c>
      <c r="B16" s="92"/>
      <c r="C16" s="30"/>
      <c r="D16" s="29"/>
      <c r="E16" s="29"/>
      <c r="F16" s="29"/>
      <c r="G16" s="29"/>
      <c r="H16" s="29"/>
      <c r="I16" s="29"/>
      <c r="J16" s="29"/>
      <c r="K16" s="29"/>
      <c r="L16" s="85"/>
    </row>
    <row r="17" spans="1:12" ht="12.75" customHeight="1" x14ac:dyDescent="0.25">
      <c r="A17" s="26" t="s">
        <v>122</v>
      </c>
      <c r="B17" s="92"/>
      <c r="C17" s="211"/>
      <c r="D17" s="212"/>
      <c r="E17" s="212"/>
      <c r="F17" s="212"/>
      <c r="G17" s="212"/>
      <c r="H17" s="212"/>
      <c r="I17" s="29">
        <f t="shared" ref="I17:I23" si="3">SUM(E17:H17)</f>
        <v>0</v>
      </c>
      <c r="J17" s="29">
        <f t="shared" ref="J17:J23" si="4">IF(D17=0,C17+I17,D17+I17)</f>
        <v>0</v>
      </c>
      <c r="K17" s="212"/>
      <c r="L17" s="213"/>
    </row>
    <row r="18" spans="1:12" ht="12.75" customHeight="1" x14ac:dyDescent="0.25">
      <c r="A18" s="26" t="s">
        <v>82</v>
      </c>
      <c r="B18" s="92"/>
      <c r="C18" s="211"/>
      <c r="D18" s="212"/>
      <c r="E18" s="212"/>
      <c r="F18" s="212"/>
      <c r="G18" s="212"/>
      <c r="H18" s="212"/>
      <c r="I18" s="29">
        <f t="shared" si="3"/>
        <v>0</v>
      </c>
      <c r="J18" s="29">
        <f t="shared" si="4"/>
        <v>0</v>
      </c>
      <c r="K18" s="212"/>
      <c r="L18" s="213"/>
    </row>
    <row r="19" spans="1:12" ht="12.75" customHeight="1" x14ac:dyDescent="0.25">
      <c r="A19" s="26" t="s">
        <v>121</v>
      </c>
      <c r="B19" s="92"/>
      <c r="C19" s="211"/>
      <c r="D19" s="212"/>
      <c r="E19" s="212"/>
      <c r="F19" s="212"/>
      <c r="G19" s="212"/>
      <c r="H19" s="212"/>
      <c r="I19" s="29">
        <f t="shared" si="3"/>
        <v>0</v>
      </c>
      <c r="J19" s="29">
        <f t="shared" si="4"/>
        <v>0</v>
      </c>
      <c r="K19" s="212"/>
      <c r="L19" s="213"/>
    </row>
    <row r="20" spans="1:12" ht="12.75" customHeight="1" x14ac:dyDescent="0.25">
      <c r="A20" s="26" t="s">
        <v>120</v>
      </c>
      <c r="B20" s="92"/>
      <c r="C20" s="211">
        <v>100741</v>
      </c>
      <c r="D20" s="212"/>
      <c r="E20" s="212"/>
      <c r="F20" s="212"/>
      <c r="G20" s="212"/>
      <c r="H20" s="212"/>
      <c r="I20" s="29">
        <f t="shared" si="3"/>
        <v>0</v>
      </c>
      <c r="J20" s="29">
        <f t="shared" si="4"/>
        <v>100741</v>
      </c>
      <c r="K20" s="212"/>
      <c r="L20" s="213"/>
    </row>
    <row r="21" spans="1:12" ht="12.75" customHeight="1" x14ac:dyDescent="0.25">
      <c r="A21" s="26" t="s">
        <v>931</v>
      </c>
      <c r="B21" s="92"/>
      <c r="C21" s="211"/>
      <c r="D21" s="212"/>
      <c r="E21" s="212"/>
      <c r="F21" s="212"/>
      <c r="G21" s="212"/>
      <c r="H21" s="212"/>
      <c r="I21" s="29">
        <f t="shared" si="3"/>
        <v>0</v>
      </c>
      <c r="J21" s="29">
        <f t="shared" si="4"/>
        <v>0</v>
      </c>
      <c r="K21" s="212"/>
      <c r="L21" s="213"/>
    </row>
    <row r="22" spans="1:12" ht="12.75" customHeight="1" x14ac:dyDescent="0.25">
      <c r="A22" s="26" t="s">
        <v>932</v>
      </c>
      <c r="B22" s="92"/>
      <c r="C22" s="211"/>
      <c r="D22" s="212"/>
      <c r="E22" s="212"/>
      <c r="F22" s="212"/>
      <c r="G22" s="212"/>
      <c r="H22" s="212"/>
      <c r="I22" s="29">
        <f t="shared" si="3"/>
        <v>0</v>
      </c>
      <c r="J22" s="29">
        <f t="shared" si="4"/>
        <v>0</v>
      </c>
      <c r="K22" s="212"/>
      <c r="L22" s="213"/>
    </row>
    <row r="23" spans="1:12" ht="12.75" customHeight="1" x14ac:dyDescent="0.25">
      <c r="A23" s="26" t="s">
        <v>933</v>
      </c>
      <c r="B23" s="92"/>
      <c r="C23" s="213">
        <v>41175</v>
      </c>
      <c r="D23" s="212"/>
      <c r="E23" s="212"/>
      <c r="F23" s="212"/>
      <c r="G23" s="212"/>
      <c r="H23" s="212"/>
      <c r="I23" s="29">
        <f t="shared" si="3"/>
        <v>0</v>
      </c>
      <c r="J23" s="29">
        <f t="shared" si="4"/>
        <v>41175</v>
      </c>
      <c r="K23" s="212"/>
      <c r="L23" s="213"/>
    </row>
    <row r="24" spans="1:12" ht="12.75" customHeight="1" x14ac:dyDescent="0.25">
      <c r="A24" s="26" t="s">
        <v>934</v>
      </c>
      <c r="B24" s="92"/>
      <c r="C24" s="211"/>
      <c r="D24" s="212"/>
      <c r="E24" s="212"/>
      <c r="F24" s="212"/>
      <c r="G24" s="212"/>
      <c r="H24" s="212"/>
      <c r="I24" s="29">
        <f>SUM(E24:H24)</f>
        <v>0</v>
      </c>
      <c r="J24" s="29">
        <f>IF(D24=0,C24+I24,D24+I24)</f>
        <v>0</v>
      </c>
      <c r="K24" s="212"/>
      <c r="L24" s="213"/>
    </row>
    <row r="25" spans="1:12" ht="12.75" customHeight="1" x14ac:dyDescent="0.25">
      <c r="A25" s="59" t="s">
        <v>152</v>
      </c>
      <c r="B25" s="110"/>
      <c r="C25" s="49">
        <f>SUM(C17:C24)</f>
        <v>141916</v>
      </c>
      <c r="D25" s="48">
        <f t="shared" ref="D25:L25" si="5">SUM(D17:D24)</f>
        <v>0</v>
      </c>
      <c r="E25" s="48">
        <f t="shared" si="5"/>
        <v>0</v>
      </c>
      <c r="F25" s="48">
        <f t="shared" si="5"/>
        <v>0</v>
      </c>
      <c r="G25" s="48">
        <f t="shared" si="5"/>
        <v>0</v>
      </c>
      <c r="H25" s="48">
        <f t="shared" si="5"/>
        <v>0</v>
      </c>
      <c r="I25" s="48">
        <f t="shared" si="5"/>
        <v>0</v>
      </c>
      <c r="J25" s="48">
        <f t="shared" si="5"/>
        <v>141916</v>
      </c>
      <c r="K25" s="48">
        <f t="shared" si="5"/>
        <v>0</v>
      </c>
      <c r="L25" s="86">
        <f t="shared" si="5"/>
        <v>0</v>
      </c>
    </row>
    <row r="26" spans="1:12" ht="12.75" customHeight="1" x14ac:dyDescent="0.25">
      <c r="A26" s="59" t="s">
        <v>271</v>
      </c>
      <c r="B26" s="110"/>
      <c r="C26" s="49">
        <f t="shared" ref="C26:J26" si="6">C14+C25</f>
        <v>354505</v>
      </c>
      <c r="D26" s="48">
        <f t="shared" si="6"/>
        <v>0</v>
      </c>
      <c r="E26" s="48">
        <f t="shared" si="6"/>
        <v>0</v>
      </c>
      <c r="F26" s="48">
        <f t="shared" si="6"/>
        <v>0</v>
      </c>
      <c r="G26" s="48">
        <f t="shared" si="6"/>
        <v>0</v>
      </c>
      <c r="H26" s="48">
        <f t="shared" si="6"/>
        <v>0</v>
      </c>
      <c r="I26" s="48">
        <f t="shared" si="6"/>
        <v>0</v>
      </c>
      <c r="J26" s="48">
        <f t="shared" si="6"/>
        <v>354505</v>
      </c>
      <c r="K26" s="48">
        <f>K14+K25</f>
        <v>0</v>
      </c>
      <c r="L26" s="86">
        <f>L14+L25</f>
        <v>0</v>
      </c>
    </row>
    <row r="27" spans="1:12" ht="5.0999999999999996" customHeight="1" x14ac:dyDescent="0.25">
      <c r="A27" s="27"/>
      <c r="B27" s="92"/>
      <c r="C27" s="30"/>
      <c r="D27" s="29"/>
      <c r="E27" s="29"/>
      <c r="F27" s="29"/>
      <c r="G27" s="29"/>
      <c r="H27" s="29"/>
      <c r="I27" s="29"/>
      <c r="J27" s="29"/>
      <c r="K27" s="29"/>
      <c r="L27" s="85"/>
    </row>
    <row r="28" spans="1:12" ht="12.75" customHeight="1" x14ac:dyDescent="0.25">
      <c r="A28" s="58" t="s">
        <v>19</v>
      </c>
      <c r="B28" s="92"/>
      <c r="C28" s="30"/>
      <c r="D28" s="29"/>
      <c r="E28" s="29"/>
      <c r="F28" s="29"/>
      <c r="G28" s="29"/>
      <c r="H28" s="29"/>
      <c r="I28" s="29"/>
      <c r="J28" s="29"/>
      <c r="K28" s="29"/>
      <c r="L28" s="85"/>
    </row>
    <row r="29" spans="1:12" ht="12.75" customHeight="1" x14ac:dyDescent="0.25">
      <c r="A29" s="58" t="s">
        <v>83</v>
      </c>
      <c r="B29" s="98"/>
      <c r="C29" s="30"/>
      <c r="D29" s="29"/>
      <c r="E29" s="29"/>
      <c r="F29" s="29"/>
      <c r="G29" s="29"/>
      <c r="H29" s="29"/>
      <c r="I29" s="29"/>
      <c r="J29" s="29"/>
      <c r="K29" s="29"/>
      <c r="L29" s="85"/>
    </row>
    <row r="30" spans="1:12" ht="12.75" customHeight="1" x14ac:dyDescent="0.25">
      <c r="A30" s="26" t="s">
        <v>252</v>
      </c>
      <c r="B30" s="92">
        <v>1</v>
      </c>
      <c r="C30" s="211"/>
      <c r="D30" s="212"/>
      <c r="E30" s="212"/>
      <c r="F30" s="212"/>
      <c r="G30" s="212"/>
      <c r="H30" s="212"/>
      <c r="I30" s="29">
        <f>SUM(E30:H30)</f>
        <v>0</v>
      </c>
      <c r="J30" s="29">
        <f>IF(D30=0,C30+I30,D30+I30)</f>
        <v>0</v>
      </c>
      <c r="K30" s="212"/>
      <c r="L30" s="213"/>
    </row>
    <row r="31" spans="1:12" ht="12.75" customHeight="1" x14ac:dyDescent="0.25">
      <c r="A31" s="26" t="s">
        <v>273</v>
      </c>
      <c r="B31" s="92"/>
      <c r="C31" s="211"/>
      <c r="D31" s="212"/>
      <c r="E31" s="212"/>
      <c r="F31" s="212"/>
      <c r="G31" s="212"/>
      <c r="H31" s="212"/>
      <c r="I31" s="29">
        <f>SUM(E31:H31)</f>
        <v>0</v>
      </c>
      <c r="J31" s="29">
        <f>IF(D31=0,C31+I31,D31+I31)</f>
        <v>0</v>
      </c>
      <c r="K31" s="212"/>
      <c r="L31" s="213"/>
    </row>
    <row r="32" spans="1:12" ht="12.75" customHeight="1" x14ac:dyDescent="0.25">
      <c r="A32" s="26" t="s">
        <v>119</v>
      </c>
      <c r="B32" s="92"/>
      <c r="C32" s="211"/>
      <c r="D32" s="212"/>
      <c r="E32" s="212"/>
      <c r="F32" s="212"/>
      <c r="G32" s="212"/>
      <c r="H32" s="212"/>
      <c r="I32" s="29">
        <f>SUM(E32:H32)</f>
        <v>0</v>
      </c>
      <c r="J32" s="29">
        <f>IF(D32=0,C32+I32,D32+I32)</f>
        <v>0</v>
      </c>
      <c r="K32" s="212"/>
      <c r="L32" s="213"/>
    </row>
    <row r="33" spans="1:12" ht="12.75" customHeight="1" x14ac:dyDescent="0.25">
      <c r="A33" s="26" t="s">
        <v>285</v>
      </c>
      <c r="B33" s="92"/>
      <c r="C33" s="213">
        <f>240466</f>
        <v>240466</v>
      </c>
      <c r="D33" s="212"/>
      <c r="E33" s="212"/>
      <c r="F33" s="212"/>
      <c r="G33" s="212"/>
      <c r="H33" s="212"/>
      <c r="I33" s="29">
        <f>SUM(E33:H33)</f>
        <v>0</v>
      </c>
      <c r="J33" s="29">
        <f>IF(D33=0,C33+I33,D33+I33)</f>
        <v>240466</v>
      </c>
      <c r="K33" s="212"/>
      <c r="L33" s="213"/>
    </row>
    <row r="34" spans="1:12" ht="12.75" customHeight="1" x14ac:dyDescent="0.25">
      <c r="A34" s="26" t="s">
        <v>84</v>
      </c>
      <c r="B34" s="92"/>
      <c r="C34" s="213">
        <f>171654+1103673</f>
        <v>1275327</v>
      </c>
      <c r="D34" s="212"/>
      <c r="E34" s="212"/>
      <c r="F34" s="212"/>
      <c r="G34" s="212"/>
      <c r="H34" s="212"/>
      <c r="I34" s="29">
        <f>SUM(E34:H34)</f>
        <v>0</v>
      </c>
      <c r="J34" s="29">
        <f>IF(D34=0,C34+I34,D34+I34)</f>
        <v>1275327</v>
      </c>
      <c r="K34" s="212"/>
      <c r="L34" s="213"/>
    </row>
    <row r="35" spans="1:12" ht="12.75" customHeight="1" x14ac:dyDescent="0.25">
      <c r="A35" s="59" t="s">
        <v>22</v>
      </c>
      <c r="B35" s="110"/>
      <c r="C35" s="49">
        <f t="shared" ref="C35:J35" si="7">SUM(C30:C34)</f>
        <v>1515793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1515793</v>
      </c>
      <c r="K35" s="48">
        <f>SUM(K30:K34)</f>
        <v>0</v>
      </c>
      <c r="L35" s="86">
        <f>SUM(L30:L34)</f>
        <v>0</v>
      </c>
    </row>
    <row r="36" spans="1:12" ht="5.0999999999999996" customHeight="1" x14ac:dyDescent="0.25">
      <c r="A36" s="27"/>
      <c r="B36" s="92"/>
      <c r="C36" s="30"/>
      <c r="D36" s="29"/>
      <c r="E36" s="29"/>
      <c r="F36" s="29"/>
      <c r="G36" s="29"/>
      <c r="H36" s="29"/>
      <c r="I36" s="29"/>
      <c r="J36" s="29"/>
      <c r="K36" s="29"/>
      <c r="L36" s="85"/>
    </row>
    <row r="37" spans="1:12" ht="12.75" customHeight="1" x14ac:dyDescent="0.25">
      <c r="A37" s="58" t="s">
        <v>20</v>
      </c>
      <c r="B37" s="92"/>
      <c r="C37" s="30"/>
      <c r="D37" s="29"/>
      <c r="E37" s="29"/>
      <c r="F37" s="29"/>
      <c r="G37" s="29"/>
      <c r="H37" s="29"/>
      <c r="I37" s="29"/>
      <c r="J37" s="29"/>
      <c r="K37" s="29"/>
      <c r="L37" s="85"/>
    </row>
    <row r="38" spans="1:12" ht="12.75" customHeight="1" x14ac:dyDescent="0.25">
      <c r="A38" s="26" t="s">
        <v>273</v>
      </c>
      <c r="B38" s="92"/>
      <c r="C38" s="211"/>
      <c r="D38" s="212"/>
      <c r="E38" s="212"/>
      <c r="F38" s="212"/>
      <c r="G38" s="212"/>
      <c r="H38" s="212"/>
      <c r="I38" s="29">
        <f>SUM(E38:H38)</f>
        <v>0</v>
      </c>
      <c r="J38" s="29">
        <f>IF(D38=0,C38+I38,D38+I38)</f>
        <v>0</v>
      </c>
      <c r="K38" s="212"/>
      <c r="L38" s="213"/>
    </row>
    <row r="39" spans="1:12" ht="12.75" customHeight="1" x14ac:dyDescent="0.25">
      <c r="A39" s="26" t="s">
        <v>84</v>
      </c>
      <c r="B39" s="92"/>
      <c r="C39" s="211"/>
      <c r="D39" s="212"/>
      <c r="E39" s="212"/>
      <c r="F39" s="212"/>
      <c r="G39" s="212"/>
      <c r="H39" s="212"/>
      <c r="I39" s="29">
        <f>SUM(E39:H39)</f>
        <v>0</v>
      </c>
      <c r="J39" s="29">
        <f>IF(D39=0,C39+I39,D39+I39)</f>
        <v>0</v>
      </c>
      <c r="K39" s="212"/>
      <c r="L39" s="213"/>
    </row>
    <row r="40" spans="1:12" ht="12.75" customHeight="1" x14ac:dyDescent="0.25">
      <c r="A40" s="59" t="s">
        <v>21</v>
      </c>
      <c r="B40" s="110"/>
      <c r="C40" s="49">
        <f t="shared" ref="C40:J40" si="8">SUM(C38:C39)</f>
        <v>0</v>
      </c>
      <c r="D40" s="48">
        <f t="shared" si="8"/>
        <v>0</v>
      </c>
      <c r="E40" s="48">
        <f t="shared" si="8"/>
        <v>0</v>
      </c>
      <c r="F40" s="48">
        <f t="shared" si="8"/>
        <v>0</v>
      </c>
      <c r="G40" s="48">
        <f t="shared" si="8"/>
        <v>0</v>
      </c>
      <c r="H40" s="48">
        <f t="shared" si="8"/>
        <v>0</v>
      </c>
      <c r="I40" s="48">
        <f t="shared" si="8"/>
        <v>0</v>
      </c>
      <c r="J40" s="48">
        <f t="shared" si="8"/>
        <v>0</v>
      </c>
      <c r="K40" s="48">
        <f>SUM(K38:K39)</f>
        <v>0</v>
      </c>
      <c r="L40" s="86">
        <f>SUM(L38:L39)</f>
        <v>0</v>
      </c>
    </row>
    <row r="41" spans="1:12" ht="12.75" customHeight="1" x14ac:dyDescent="0.25">
      <c r="A41" s="59" t="s">
        <v>430</v>
      </c>
      <c r="B41" s="110"/>
      <c r="C41" s="49">
        <f t="shared" ref="C41:L41" si="9">C35+C40</f>
        <v>1515793</v>
      </c>
      <c r="D41" s="48">
        <f t="shared" si="9"/>
        <v>0</v>
      </c>
      <c r="E41" s="48">
        <f t="shared" si="9"/>
        <v>0</v>
      </c>
      <c r="F41" s="48">
        <f t="shared" si="9"/>
        <v>0</v>
      </c>
      <c r="G41" s="48">
        <f t="shared" si="9"/>
        <v>0</v>
      </c>
      <c r="H41" s="48">
        <f t="shared" si="9"/>
        <v>0</v>
      </c>
      <c r="I41" s="48">
        <f t="shared" si="9"/>
        <v>0</v>
      </c>
      <c r="J41" s="48">
        <f t="shared" si="9"/>
        <v>1515793</v>
      </c>
      <c r="K41" s="48">
        <f t="shared" si="9"/>
        <v>0</v>
      </c>
      <c r="L41" s="86">
        <f t="shared" si="9"/>
        <v>0</v>
      </c>
    </row>
    <row r="42" spans="1:12" ht="12.75" customHeight="1" x14ac:dyDescent="0.25">
      <c r="A42" s="59" t="s">
        <v>270</v>
      </c>
      <c r="B42" s="110">
        <v>2</v>
      </c>
      <c r="C42" s="49">
        <f t="shared" ref="C42:L42" si="10">C26-C41</f>
        <v>-1161288</v>
      </c>
      <c r="D42" s="48">
        <f t="shared" si="10"/>
        <v>0</v>
      </c>
      <c r="E42" s="48">
        <f t="shared" si="10"/>
        <v>0</v>
      </c>
      <c r="F42" s="48">
        <f t="shared" si="10"/>
        <v>0</v>
      </c>
      <c r="G42" s="48">
        <f t="shared" si="10"/>
        <v>0</v>
      </c>
      <c r="H42" s="48">
        <f t="shared" si="10"/>
        <v>0</v>
      </c>
      <c r="I42" s="48">
        <f t="shared" si="10"/>
        <v>0</v>
      </c>
      <c r="J42" s="48">
        <f t="shared" si="10"/>
        <v>-1161288</v>
      </c>
      <c r="K42" s="48">
        <f t="shared" si="10"/>
        <v>0</v>
      </c>
      <c r="L42" s="86">
        <f t="shared" si="10"/>
        <v>0</v>
      </c>
    </row>
    <row r="43" spans="1:12" ht="5.0999999999999996" customHeight="1" x14ac:dyDescent="0.25">
      <c r="A43" s="27"/>
      <c r="B43" s="92"/>
      <c r="C43" s="30"/>
      <c r="D43" s="29"/>
      <c r="E43" s="29"/>
      <c r="F43" s="29"/>
      <c r="G43" s="29"/>
      <c r="H43" s="29"/>
      <c r="I43" s="29"/>
      <c r="J43" s="29"/>
      <c r="K43" s="29"/>
      <c r="L43" s="85"/>
    </row>
    <row r="44" spans="1:12" ht="12.75" customHeight="1" x14ac:dyDescent="0.25">
      <c r="A44" s="58" t="s">
        <v>154</v>
      </c>
      <c r="B44" s="92"/>
      <c r="C44" s="30"/>
      <c r="D44" s="29"/>
      <c r="E44" s="29"/>
      <c r="F44" s="29"/>
      <c r="G44" s="29"/>
      <c r="H44" s="29"/>
      <c r="I44" s="29"/>
      <c r="J44" s="29"/>
      <c r="K44" s="29"/>
      <c r="L44" s="85"/>
    </row>
    <row r="45" spans="1:12" ht="12.75" customHeight="1" x14ac:dyDescent="0.25">
      <c r="A45" s="26" t="s">
        <v>101</v>
      </c>
      <c r="B45" s="92"/>
      <c r="C45" s="211">
        <f>-1161389</f>
        <v>-1161389</v>
      </c>
      <c r="D45" s="212"/>
      <c r="E45" s="212"/>
      <c r="F45" s="212"/>
      <c r="G45" s="212"/>
      <c r="H45" s="212"/>
      <c r="I45" s="29">
        <f>SUM(E45:H45)</f>
        <v>0</v>
      </c>
      <c r="J45" s="29">
        <f>IF(D45=0,C45+I45,D45+I45)</f>
        <v>-1161389</v>
      </c>
      <c r="K45" s="212"/>
      <c r="L45" s="213"/>
    </row>
    <row r="46" spans="1:12" ht="12.75" customHeight="1" x14ac:dyDescent="0.25">
      <c r="A46" s="26" t="s">
        <v>366</v>
      </c>
      <c r="B46" s="92"/>
      <c r="C46" s="211"/>
      <c r="D46" s="212"/>
      <c r="E46" s="212"/>
      <c r="F46" s="212"/>
      <c r="G46" s="212"/>
      <c r="H46" s="212"/>
      <c r="I46" s="29">
        <f>SUM(E46:H46)</f>
        <v>0</v>
      </c>
      <c r="J46" s="29">
        <f>IF(D46=0,C46+I46,D46+I46)</f>
        <v>0</v>
      </c>
      <c r="K46" s="212"/>
      <c r="L46" s="213"/>
    </row>
    <row r="47" spans="1:12" s="266" customFormat="1" ht="12.75" customHeight="1" x14ac:dyDescent="0.25">
      <c r="A47" s="57" t="s">
        <v>596</v>
      </c>
      <c r="B47" s="95"/>
      <c r="C47" s="211">
        <v>100</v>
      </c>
      <c r="D47" s="256"/>
      <c r="E47" s="256"/>
      <c r="F47" s="256"/>
      <c r="G47" s="256"/>
      <c r="H47" s="256"/>
      <c r="I47" s="238">
        <f>SUM(E47:H47)</f>
        <v>0</v>
      </c>
      <c r="J47" s="238">
        <f>IF(D47=0,C47+I47,D47+I47)</f>
        <v>100</v>
      </c>
      <c r="K47" s="256"/>
      <c r="L47" s="257"/>
    </row>
    <row r="48" spans="1:12" ht="12.75" customHeight="1" x14ac:dyDescent="0.25">
      <c r="A48" s="34" t="s">
        <v>147</v>
      </c>
      <c r="B48" s="113">
        <v>2</v>
      </c>
      <c r="C48" s="36">
        <f t="shared" ref="C48:H48" si="11">SUM(C45:C47)</f>
        <v>-1161289</v>
      </c>
      <c r="D48" s="35">
        <f t="shared" si="11"/>
        <v>0</v>
      </c>
      <c r="E48" s="35">
        <f t="shared" si="11"/>
        <v>0</v>
      </c>
      <c r="F48" s="35">
        <f t="shared" si="11"/>
        <v>0</v>
      </c>
      <c r="G48" s="35">
        <f t="shared" si="11"/>
        <v>0</v>
      </c>
      <c r="H48" s="35">
        <f t="shared" si="11"/>
        <v>0</v>
      </c>
      <c r="I48" s="35">
        <f>SUM(I45:I46)</f>
        <v>0</v>
      </c>
      <c r="J48" s="35">
        <f>SUM(J45:J46)</f>
        <v>-1161389</v>
      </c>
      <c r="K48" s="35">
        <f>SUM(K45:K47)</f>
        <v>0</v>
      </c>
      <c r="L48" s="112">
        <f>SUM(L45:L47)</f>
        <v>0</v>
      </c>
    </row>
    <row r="49" spans="1:12" ht="12.75" customHeight="1" x14ac:dyDescent="0.25">
      <c r="A49" s="155" t="s">
        <v>170</v>
      </c>
      <c r="B49" s="43"/>
      <c r="C49" s="133"/>
      <c r="D49" s="133"/>
      <c r="E49" s="133"/>
      <c r="F49" s="133"/>
      <c r="G49" s="133"/>
      <c r="H49" s="133"/>
      <c r="I49" s="133"/>
      <c r="J49" s="133"/>
    </row>
    <row r="50" spans="1:12" ht="12.75" customHeight="1" x14ac:dyDescent="0.25">
      <c r="A50" s="156" t="s">
        <v>425</v>
      </c>
      <c r="B50" s="156"/>
      <c r="C50" s="156"/>
      <c r="D50" s="156"/>
      <c r="E50" s="156"/>
      <c r="F50" s="156"/>
      <c r="G50" s="156"/>
      <c r="H50" s="156"/>
      <c r="I50" s="156"/>
      <c r="J50" s="156"/>
    </row>
    <row r="51" spans="1:12" ht="12.75" customHeight="1" x14ac:dyDescent="0.25">
      <c r="A51" s="156" t="s">
        <v>108</v>
      </c>
      <c r="B51" s="156"/>
      <c r="C51" s="156"/>
      <c r="D51" s="156"/>
      <c r="E51" s="156"/>
      <c r="F51" s="156"/>
      <c r="G51" s="156"/>
      <c r="H51" s="156"/>
      <c r="I51" s="156"/>
      <c r="J51" s="156"/>
    </row>
    <row r="52" spans="1:12" ht="12.75" customHeight="1" x14ac:dyDescent="0.25">
      <c r="A52" s="156" t="s">
        <v>427</v>
      </c>
      <c r="B52" s="156"/>
      <c r="C52" s="156"/>
      <c r="D52" s="156"/>
      <c r="E52" s="156"/>
      <c r="F52" s="156"/>
      <c r="G52" s="156"/>
      <c r="H52" s="156"/>
      <c r="I52" s="156"/>
      <c r="J52" s="156"/>
    </row>
    <row r="53" spans="1:12" ht="12.75" customHeight="1" x14ac:dyDescent="0.25">
      <c r="A53" s="156" t="s">
        <v>428</v>
      </c>
      <c r="B53" s="156"/>
      <c r="C53" s="156"/>
      <c r="D53" s="156"/>
      <c r="E53" s="156"/>
      <c r="F53" s="156"/>
      <c r="G53" s="156"/>
      <c r="H53" s="156"/>
      <c r="I53" s="156"/>
      <c r="J53" s="156"/>
    </row>
    <row r="54" spans="1:12" ht="12.75" customHeight="1" x14ac:dyDescent="0.25">
      <c r="A54" s="156" t="s">
        <v>225</v>
      </c>
      <c r="B54" s="156"/>
      <c r="C54" s="156"/>
      <c r="D54" s="156"/>
      <c r="E54" s="156"/>
      <c r="F54" s="156"/>
      <c r="G54" s="156"/>
      <c r="H54" s="156"/>
      <c r="I54" s="156"/>
      <c r="J54" s="156"/>
    </row>
    <row r="55" spans="1:12" ht="12.75" customHeight="1" x14ac:dyDescent="0.25">
      <c r="A55" s="156" t="s">
        <v>226</v>
      </c>
      <c r="B55" s="156"/>
      <c r="C55" s="156"/>
      <c r="D55" s="156"/>
      <c r="E55" s="156"/>
      <c r="F55" s="156"/>
      <c r="G55" s="156"/>
      <c r="H55" s="156"/>
      <c r="I55" s="156"/>
      <c r="J55" s="156"/>
    </row>
    <row r="56" spans="1:12" ht="12.75" customHeight="1" x14ac:dyDescent="0.25">
      <c r="A56" s="156" t="s">
        <v>227</v>
      </c>
      <c r="B56" s="43"/>
      <c r="C56" s="132"/>
      <c r="D56" s="132"/>
      <c r="E56" s="133"/>
      <c r="F56" s="133"/>
      <c r="G56" s="133"/>
      <c r="H56" s="133"/>
      <c r="I56" s="133"/>
      <c r="J56" s="133"/>
    </row>
    <row r="57" spans="1:12" ht="11.25" customHeight="1" x14ac:dyDescent="0.25">
      <c r="A57" s="44" t="s">
        <v>241</v>
      </c>
      <c r="B57" s="43"/>
      <c r="C57" s="71">
        <f t="shared" ref="C57:L57" si="12">C42-C48</f>
        <v>1</v>
      </c>
      <c r="D57" s="71">
        <f t="shared" si="12"/>
        <v>0</v>
      </c>
      <c r="E57" s="71">
        <f t="shared" si="12"/>
        <v>0</v>
      </c>
      <c r="F57" s="71">
        <f t="shared" si="12"/>
        <v>0</v>
      </c>
      <c r="G57" s="71">
        <f t="shared" si="12"/>
        <v>0</v>
      </c>
      <c r="H57" s="71">
        <f t="shared" si="12"/>
        <v>0</v>
      </c>
      <c r="I57" s="71">
        <f t="shared" si="12"/>
        <v>0</v>
      </c>
      <c r="J57" s="71">
        <f t="shared" si="12"/>
        <v>101</v>
      </c>
      <c r="K57" s="71">
        <f t="shared" si="12"/>
        <v>0</v>
      </c>
      <c r="L57" s="71">
        <f t="shared" si="12"/>
        <v>0</v>
      </c>
    </row>
    <row r="58" spans="1:12" ht="11.25" customHeight="1" x14ac:dyDescent="0.25">
      <c r="B58" s="20"/>
    </row>
    <row r="59" spans="1:12" ht="11.25" customHeight="1" x14ac:dyDescent="0.25">
      <c r="B59" s="20"/>
    </row>
    <row r="60" spans="1:12" ht="11.25" customHeight="1" x14ac:dyDescent="0.25">
      <c r="B60" s="20"/>
    </row>
    <row r="61" spans="1:12" ht="11.25" customHeight="1" x14ac:dyDescent="0.25">
      <c r="B61" s="20"/>
    </row>
    <row r="62" spans="1:12" ht="11.25" customHeight="1" x14ac:dyDescent="0.25">
      <c r="B62" s="20"/>
    </row>
    <row r="63" spans="1:12" ht="11.25" customHeight="1" x14ac:dyDescent="0.25"/>
    <row r="64" spans="1:12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</sheetData>
  <sheetProtection password="A35B" sheet="1" objects="1" scenarios="1"/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3 K8:L13 C17:H24 K17:L24 C30:H34 K30:L34 C38:H39 K38:L39 C45:H47 K45:L47">
      <formula1>-999999999999</formula1>
      <formula2>999999999999</formula2>
    </dataValidation>
  </dataValidations>
  <printOptions horizontalCentered="1"/>
  <pageMargins left="0.35" right="0.17" top="0.79" bottom="0.62" header="0.51181102362204722" footer="0.4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9">
    <tabColor indexed="44"/>
    <pageSetUpPr fitToPage="1"/>
  </sheetPr>
  <dimension ref="A1:L89"/>
  <sheetViews>
    <sheetView showGridLines="0" workbookViewId="0">
      <pane xSplit="2" ySplit="5" topLeftCell="C36" activePane="bottomRight" state="frozen"/>
      <selection sqref="A1:IV65536"/>
      <selection pane="topRight" sqref="A1:IV65536"/>
      <selection pane="bottomLeft" sqref="A1:IV65536"/>
      <selection pane="bottomRight" activeCell="F10" sqref="F10"/>
    </sheetView>
  </sheetViews>
  <sheetFormatPr defaultRowHeight="12.75" x14ac:dyDescent="0.25"/>
  <cols>
    <col min="1" max="1" width="35.7109375" style="20" customWidth="1"/>
    <col min="2" max="2" width="3.140625" style="47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 x14ac:dyDescent="0.25">
      <c r="A1" s="19" t="str">
        <f>MEAB4&amp;" - "&amp;Date</f>
        <v>Greater Tzaneen Development Agency - Table E5 Adjustments Budget - Cash Flows - 29/02/2016</v>
      </c>
    </row>
    <row r="2" spans="1:12" ht="38.25" x14ac:dyDescent="0.25">
      <c r="A2" s="438" t="str">
        <f>desc</f>
        <v>Description</v>
      </c>
      <c r="B2" s="438" t="str">
        <f>head27</f>
        <v>Ref</v>
      </c>
      <c r="C2" s="437" t="str">
        <f>Head9</f>
        <v>Budget Year 2015/16</v>
      </c>
      <c r="D2" s="434"/>
      <c r="E2" s="434"/>
      <c r="F2" s="434"/>
      <c r="G2" s="434"/>
      <c r="H2" s="434"/>
      <c r="I2" s="434"/>
      <c r="J2" s="435"/>
      <c r="K2" s="21" t="str">
        <f>Head10</f>
        <v>Budget Year +1 2016/17</v>
      </c>
      <c r="L2" s="83" t="str">
        <f>Head11</f>
        <v>Budget Year +2 2017/18</v>
      </c>
    </row>
    <row r="3" spans="1:12" ht="25.5" x14ac:dyDescent="0.25">
      <c r="A3" s="439"/>
      <c r="B3" s="439"/>
      <c r="C3" s="140" t="str">
        <f>Head6</f>
        <v>Original Budget</v>
      </c>
      <c r="D3" s="138" t="str">
        <f>Head54</f>
        <v>Prior Adjusted</v>
      </c>
      <c r="E3" s="138" t="str">
        <f>Head59</f>
        <v>Downward adjusts</v>
      </c>
      <c r="F3" s="138" t="str">
        <f>Head58</f>
        <v>Parent muni.</v>
      </c>
      <c r="G3" s="138" t="str">
        <f>Head53</f>
        <v>Unfore. Unavoid.</v>
      </c>
      <c r="H3" s="138" t="str">
        <f>Head50</f>
        <v>Other Adjusts.</v>
      </c>
      <c r="I3" s="152" t="str">
        <f>Head56</f>
        <v>Total Adjusts.</v>
      </c>
      <c r="J3" s="152" t="str">
        <f>Head7</f>
        <v>Adjusted Budget</v>
      </c>
      <c r="K3" s="105" t="str">
        <f>Head7</f>
        <v>Adjusted Budget</v>
      </c>
      <c r="L3" s="161" t="str">
        <f>Head7</f>
        <v>Adjusted Budget</v>
      </c>
    </row>
    <row r="4" spans="1:12" x14ac:dyDescent="0.25">
      <c r="A4" s="439"/>
      <c r="B4" s="439"/>
      <c r="C4" s="196"/>
      <c r="D4" s="197">
        <v>1</v>
      </c>
      <c r="E4" s="197">
        <v>2</v>
      </c>
      <c r="F4" s="197">
        <v>3</v>
      </c>
      <c r="G4" s="197">
        <v>4</v>
      </c>
      <c r="H4" s="197">
        <v>5</v>
      </c>
      <c r="I4" s="197">
        <v>6</v>
      </c>
      <c r="J4" s="197">
        <v>7</v>
      </c>
      <c r="K4" s="128"/>
      <c r="L4" s="129"/>
    </row>
    <row r="5" spans="1:12" x14ac:dyDescent="0.25">
      <c r="A5" s="124" t="s">
        <v>193</v>
      </c>
      <c r="B5" s="125"/>
      <c r="C5" s="198" t="s">
        <v>107</v>
      </c>
      <c r="D5" s="199" t="s">
        <v>316</v>
      </c>
      <c r="E5" s="199" t="s">
        <v>77</v>
      </c>
      <c r="F5" s="199" t="s">
        <v>34</v>
      </c>
      <c r="G5" s="201" t="s">
        <v>133</v>
      </c>
      <c r="H5" s="201" t="s">
        <v>12</v>
      </c>
      <c r="I5" s="201" t="s">
        <v>13</v>
      </c>
      <c r="J5" s="201" t="s">
        <v>14</v>
      </c>
      <c r="K5" s="131"/>
      <c r="L5" s="170"/>
    </row>
    <row r="6" spans="1:12" ht="12.75" customHeight="1" x14ac:dyDescent="0.25">
      <c r="A6" s="58" t="s">
        <v>326</v>
      </c>
      <c r="B6" s="92"/>
      <c r="C6" s="30"/>
      <c r="D6" s="29"/>
      <c r="E6" s="29"/>
      <c r="F6" s="29"/>
      <c r="G6" s="29"/>
      <c r="H6" s="29"/>
      <c r="I6" s="29"/>
      <c r="J6" s="29"/>
      <c r="K6" s="29"/>
      <c r="L6" s="85"/>
    </row>
    <row r="7" spans="1:12" ht="12.75" customHeight="1" x14ac:dyDescent="0.25">
      <c r="A7" s="58" t="s">
        <v>360</v>
      </c>
      <c r="B7" s="92"/>
      <c r="C7" s="30"/>
      <c r="D7" s="29"/>
      <c r="E7" s="29"/>
      <c r="F7" s="29"/>
      <c r="G7" s="29"/>
      <c r="H7" s="29"/>
      <c r="I7" s="29"/>
      <c r="J7" s="29"/>
      <c r="K7" s="29"/>
      <c r="L7" s="85"/>
    </row>
    <row r="8" spans="1:12" ht="12.75" customHeight="1" x14ac:dyDescent="0.25">
      <c r="A8" s="26" t="s">
        <v>935</v>
      </c>
      <c r="B8" s="92"/>
      <c r="C8" s="211"/>
      <c r="D8" s="212"/>
      <c r="E8" s="212"/>
      <c r="F8" s="212"/>
      <c r="G8" s="212"/>
      <c r="H8" s="212"/>
      <c r="I8" s="29">
        <f t="shared" ref="I8:I14" si="0">SUM(E8:H8)</f>
        <v>0</v>
      </c>
      <c r="J8" s="29">
        <f t="shared" ref="J8:J14" si="1">IF(D8=0,C8+I8,D8+I8)</f>
        <v>0</v>
      </c>
      <c r="K8" s="212"/>
      <c r="L8" s="213"/>
    </row>
    <row r="9" spans="1:12" ht="12.75" customHeight="1" x14ac:dyDescent="0.25">
      <c r="A9" s="26" t="s">
        <v>419</v>
      </c>
      <c r="B9" s="92"/>
      <c r="C9" s="211"/>
      <c r="D9" s="212"/>
      <c r="E9" s="212"/>
      <c r="F9" s="212"/>
      <c r="G9" s="212"/>
      <c r="H9" s="212"/>
      <c r="I9" s="29">
        <f t="shared" si="0"/>
        <v>0</v>
      </c>
      <c r="J9" s="29">
        <f t="shared" si="1"/>
        <v>0</v>
      </c>
      <c r="K9" s="212"/>
      <c r="L9" s="213"/>
    </row>
    <row r="10" spans="1:12" ht="12.75" customHeight="1" x14ac:dyDescent="0.25">
      <c r="A10" s="26" t="s">
        <v>17</v>
      </c>
      <c r="B10" s="92"/>
      <c r="C10" s="236">
        <f>5500000</f>
        <v>5500000</v>
      </c>
      <c r="D10" s="212"/>
      <c r="E10" s="212"/>
      <c r="F10" s="212">
        <v>842903</v>
      </c>
      <c r="G10" s="212"/>
      <c r="H10" s="212"/>
      <c r="I10" s="29">
        <f t="shared" si="0"/>
        <v>842903</v>
      </c>
      <c r="J10" s="29">
        <f t="shared" si="1"/>
        <v>6342903</v>
      </c>
      <c r="K10" s="212">
        <v>8800000</v>
      </c>
      <c r="L10" s="213">
        <f>9400000</f>
        <v>9400000</v>
      </c>
    </row>
    <row r="11" spans="1:12" ht="12.75" customHeight="1" x14ac:dyDescent="0.25">
      <c r="A11" s="26" t="s">
        <v>208</v>
      </c>
      <c r="B11" s="92"/>
      <c r="C11" s="211"/>
      <c r="D11" s="212"/>
      <c r="E11" s="212"/>
      <c r="F11" s="212"/>
      <c r="G11" s="212"/>
      <c r="H11" s="212"/>
      <c r="I11" s="29">
        <f t="shared" si="0"/>
        <v>0</v>
      </c>
      <c r="J11" s="29">
        <f t="shared" si="1"/>
        <v>0</v>
      </c>
      <c r="K11" s="212"/>
      <c r="L11" s="213"/>
    </row>
    <row r="12" spans="1:12" ht="12.75" customHeight="1" x14ac:dyDescent="0.25">
      <c r="A12" s="26" t="s">
        <v>209</v>
      </c>
      <c r="B12" s="92"/>
      <c r="C12" s="211"/>
      <c r="D12" s="212"/>
      <c r="E12" s="212"/>
      <c r="F12" s="212"/>
      <c r="G12" s="212"/>
      <c r="H12" s="212"/>
      <c r="I12" s="29">
        <f t="shared" si="0"/>
        <v>0</v>
      </c>
      <c r="J12" s="29">
        <f t="shared" si="1"/>
        <v>0</v>
      </c>
      <c r="K12" s="212"/>
      <c r="L12" s="213"/>
    </row>
    <row r="13" spans="1:12" ht="12.75" customHeight="1" x14ac:dyDescent="0.25">
      <c r="A13" s="26" t="s">
        <v>347</v>
      </c>
      <c r="B13" s="92"/>
      <c r="C13" s="211"/>
      <c r="D13" s="212"/>
      <c r="E13" s="212"/>
      <c r="F13" s="212"/>
      <c r="G13" s="212"/>
      <c r="H13" s="212"/>
      <c r="I13" s="29">
        <f t="shared" si="0"/>
        <v>0</v>
      </c>
      <c r="J13" s="29">
        <f t="shared" si="1"/>
        <v>0</v>
      </c>
      <c r="K13" s="212"/>
      <c r="L13" s="213"/>
    </row>
    <row r="14" spans="1:12" ht="12.75" customHeight="1" x14ac:dyDescent="0.25">
      <c r="A14" s="26" t="s">
        <v>192</v>
      </c>
      <c r="B14" s="92"/>
      <c r="C14" s="211"/>
      <c r="D14" s="212"/>
      <c r="E14" s="212"/>
      <c r="F14" s="212"/>
      <c r="G14" s="212"/>
      <c r="H14" s="212"/>
      <c r="I14" s="29">
        <f t="shared" si="0"/>
        <v>0</v>
      </c>
      <c r="J14" s="29">
        <f t="shared" si="1"/>
        <v>0</v>
      </c>
      <c r="K14" s="212"/>
      <c r="L14" s="213"/>
    </row>
    <row r="15" spans="1:12" ht="12.75" customHeight="1" x14ac:dyDescent="0.25">
      <c r="A15" s="58" t="s">
        <v>361</v>
      </c>
      <c r="B15" s="92"/>
      <c r="C15" s="267"/>
      <c r="D15" s="256"/>
      <c r="E15" s="256"/>
      <c r="F15" s="256"/>
      <c r="G15" s="256"/>
      <c r="H15" s="256"/>
      <c r="I15" s="238"/>
      <c r="J15" s="238"/>
      <c r="K15" s="256"/>
      <c r="L15" s="257"/>
    </row>
    <row r="16" spans="1:12" ht="12.75" customHeight="1" x14ac:dyDescent="0.25">
      <c r="A16" s="26" t="s">
        <v>210</v>
      </c>
      <c r="B16" s="92"/>
      <c r="C16" s="211">
        <f>-5500000</f>
        <v>-5500000</v>
      </c>
      <c r="D16" s="212"/>
      <c r="E16" s="212"/>
      <c r="F16" s="212">
        <f>-842903</f>
        <v>-842903</v>
      </c>
      <c r="G16" s="363"/>
      <c r="H16" s="363"/>
      <c r="I16" s="29">
        <f>SUM(E16:H16)</f>
        <v>-842903</v>
      </c>
      <c r="J16" s="29">
        <f>IF(D16=0,C16+I16,D16+I16)</f>
        <v>-6342903</v>
      </c>
      <c r="K16" s="363">
        <f>-8800000</f>
        <v>-8800000</v>
      </c>
      <c r="L16" s="364">
        <f>-9400000</f>
        <v>-9400000</v>
      </c>
    </row>
    <row r="17" spans="1:12" ht="12.75" customHeight="1" x14ac:dyDescent="0.25">
      <c r="A17" s="26" t="s">
        <v>16</v>
      </c>
      <c r="B17" s="92"/>
      <c r="C17" s="211"/>
      <c r="D17" s="212"/>
      <c r="E17" s="212"/>
      <c r="F17" s="212"/>
      <c r="G17" s="212"/>
      <c r="H17" s="212"/>
      <c r="I17" s="29">
        <f>SUM(E17:H17)</f>
        <v>0</v>
      </c>
      <c r="J17" s="29">
        <f>IF(D17=0,C17+I17,D17+I17)</f>
        <v>0</v>
      </c>
      <c r="K17" s="212"/>
      <c r="L17" s="213"/>
    </row>
    <row r="18" spans="1:12" s="266" customFormat="1" ht="12.75" customHeight="1" x14ac:dyDescent="0.25">
      <c r="A18" s="57" t="s">
        <v>349</v>
      </c>
      <c r="B18" s="95"/>
      <c r="C18" s="267"/>
      <c r="D18" s="256"/>
      <c r="E18" s="256"/>
      <c r="F18" s="256"/>
      <c r="G18" s="256"/>
      <c r="H18" s="256"/>
      <c r="I18" s="238">
        <f>SUM(E18:H18)</f>
        <v>0</v>
      </c>
      <c r="J18" s="238">
        <f>IF(D18=0,C18+I18,D18+I18)</f>
        <v>0</v>
      </c>
      <c r="K18" s="256"/>
      <c r="L18" s="257"/>
    </row>
    <row r="19" spans="1:12" ht="12.75" customHeight="1" x14ac:dyDescent="0.25">
      <c r="A19" s="57" t="s">
        <v>899</v>
      </c>
      <c r="B19" s="92"/>
      <c r="C19" s="211"/>
      <c r="D19" s="212"/>
      <c r="E19" s="212"/>
      <c r="F19" s="212"/>
      <c r="G19" s="212"/>
      <c r="H19" s="212"/>
      <c r="I19" s="29">
        <f>SUM(E19:H19)</f>
        <v>0</v>
      </c>
      <c r="J19" s="29">
        <f>IF(D19=0,C19+I19,D19+I19)</f>
        <v>0</v>
      </c>
      <c r="K19" s="212"/>
      <c r="L19" s="213"/>
    </row>
    <row r="20" spans="1:12" ht="12.75" customHeight="1" x14ac:dyDescent="0.25">
      <c r="A20" s="59" t="s">
        <v>352</v>
      </c>
      <c r="B20" s="110"/>
      <c r="C20" s="49">
        <f t="shared" ref="C20:I20" si="2">SUM(C8:C19)</f>
        <v>0</v>
      </c>
      <c r="D20" s="48">
        <f t="shared" si="2"/>
        <v>0</v>
      </c>
      <c r="E20" s="48">
        <f t="shared" si="2"/>
        <v>0</v>
      </c>
      <c r="F20" s="48">
        <f t="shared" si="2"/>
        <v>0</v>
      </c>
      <c r="G20" s="48">
        <f t="shared" si="2"/>
        <v>0</v>
      </c>
      <c r="H20" s="48">
        <f t="shared" si="2"/>
        <v>0</v>
      </c>
      <c r="I20" s="48">
        <f t="shared" si="2"/>
        <v>0</v>
      </c>
      <c r="J20" s="48">
        <f>SUM(J8:J19)</f>
        <v>0</v>
      </c>
      <c r="K20" s="48">
        <f>SUM(K8:K19)</f>
        <v>0</v>
      </c>
      <c r="L20" s="86">
        <f>SUM(L8:L19)</f>
        <v>0</v>
      </c>
    </row>
    <row r="21" spans="1:12" ht="5.0999999999999996" customHeight="1" x14ac:dyDescent="0.25">
      <c r="A21" s="27"/>
      <c r="B21" s="92"/>
      <c r="C21" s="30"/>
      <c r="D21" s="29"/>
      <c r="E21" s="29"/>
      <c r="F21" s="29"/>
      <c r="G21" s="29"/>
      <c r="H21" s="29"/>
      <c r="I21" s="29"/>
      <c r="J21" s="29"/>
      <c r="K21" s="29"/>
      <c r="L21" s="85"/>
    </row>
    <row r="22" spans="1:12" ht="12.75" customHeight="1" x14ac:dyDescent="0.25">
      <c r="A22" s="58" t="s">
        <v>242</v>
      </c>
      <c r="B22" s="92"/>
      <c r="C22" s="30"/>
      <c r="D22" s="29"/>
      <c r="E22" s="29"/>
      <c r="F22" s="29"/>
      <c r="G22" s="29"/>
      <c r="H22" s="29"/>
      <c r="I22" s="29"/>
      <c r="J22" s="29"/>
      <c r="K22" s="29"/>
      <c r="L22" s="85"/>
    </row>
    <row r="23" spans="1:12" ht="12.75" customHeight="1" x14ac:dyDescent="0.25">
      <c r="A23" s="58" t="s">
        <v>360</v>
      </c>
      <c r="B23" s="92"/>
      <c r="C23" s="30"/>
      <c r="D23" s="29"/>
      <c r="E23" s="29"/>
      <c r="F23" s="29"/>
      <c r="G23" s="29"/>
      <c r="H23" s="29"/>
      <c r="I23" s="29"/>
      <c r="J23" s="29"/>
      <c r="K23" s="29"/>
      <c r="L23" s="85"/>
    </row>
    <row r="24" spans="1:12" ht="12.75" customHeight="1" x14ac:dyDescent="0.25">
      <c r="A24" s="26" t="s">
        <v>382</v>
      </c>
      <c r="B24" s="92"/>
      <c r="C24" s="211"/>
      <c r="D24" s="212"/>
      <c r="E24" s="212"/>
      <c r="F24" s="212"/>
      <c r="G24" s="212"/>
      <c r="H24" s="212"/>
      <c r="I24" s="29">
        <f>SUM(E24:H24)</f>
        <v>0</v>
      </c>
      <c r="J24" s="29">
        <f>IF(D24=0,C24+I24,D24+I24)</f>
        <v>0</v>
      </c>
      <c r="K24" s="212"/>
      <c r="L24" s="213"/>
    </row>
    <row r="25" spans="1:12" ht="12.75" customHeight="1" x14ac:dyDescent="0.25">
      <c r="A25" s="26" t="s">
        <v>6</v>
      </c>
      <c r="B25" s="92"/>
      <c r="C25" s="211"/>
      <c r="D25" s="212"/>
      <c r="E25" s="212"/>
      <c r="F25" s="212"/>
      <c r="G25" s="212"/>
      <c r="H25" s="212"/>
      <c r="I25" s="29">
        <f>SUM(E25:H25)</f>
        <v>0</v>
      </c>
      <c r="J25" s="29">
        <f>IF(D25=0,C25+I25,D25+I25)</f>
        <v>0</v>
      </c>
      <c r="K25" s="212"/>
      <c r="L25" s="213"/>
    </row>
    <row r="26" spans="1:12" ht="12.75" customHeight="1" x14ac:dyDescent="0.25">
      <c r="A26" s="26" t="s">
        <v>350</v>
      </c>
      <c r="B26" s="98"/>
      <c r="C26" s="211"/>
      <c r="D26" s="212"/>
      <c r="E26" s="212"/>
      <c r="F26" s="212"/>
      <c r="G26" s="212"/>
      <c r="H26" s="212"/>
      <c r="I26" s="29">
        <f>SUM(E26:H26)</f>
        <v>0</v>
      </c>
      <c r="J26" s="29">
        <f>IF(D26=0,C26+I26,D26+I26)</f>
        <v>0</v>
      </c>
      <c r="K26" s="212"/>
      <c r="L26" s="213"/>
    </row>
    <row r="27" spans="1:12" ht="12.75" customHeight="1" x14ac:dyDescent="0.25">
      <c r="A27" s="26" t="s">
        <v>351</v>
      </c>
      <c r="B27" s="92"/>
      <c r="C27" s="211"/>
      <c r="D27" s="212"/>
      <c r="E27" s="212"/>
      <c r="F27" s="212"/>
      <c r="G27" s="212"/>
      <c r="H27" s="212"/>
      <c r="I27" s="29">
        <f>SUM(E27:H27)</f>
        <v>0</v>
      </c>
      <c r="J27" s="29">
        <f>IF(D27=0,C27+I27,D27+I27)</f>
        <v>0</v>
      </c>
      <c r="K27" s="212"/>
      <c r="L27" s="213"/>
    </row>
    <row r="28" spans="1:12" ht="12.75" customHeight="1" x14ac:dyDescent="0.25">
      <c r="A28" s="58" t="s">
        <v>361</v>
      </c>
      <c r="B28" s="92"/>
      <c r="C28" s="30"/>
      <c r="D28" s="29"/>
      <c r="E28" s="29"/>
      <c r="F28" s="29"/>
      <c r="G28" s="29"/>
      <c r="H28" s="29"/>
      <c r="I28" s="29"/>
      <c r="J28" s="29"/>
      <c r="K28" s="29"/>
      <c r="L28" s="85"/>
    </row>
    <row r="29" spans="1:12" ht="12.75" customHeight="1" x14ac:dyDescent="0.25">
      <c r="A29" s="26" t="s">
        <v>211</v>
      </c>
      <c r="B29" s="92"/>
      <c r="C29" s="211"/>
      <c r="D29" s="212"/>
      <c r="E29" s="212"/>
      <c r="F29" s="212"/>
      <c r="G29" s="212"/>
      <c r="H29" s="212"/>
      <c r="I29" s="29">
        <f>SUM(E29:H29)</f>
        <v>0</v>
      </c>
      <c r="J29" s="29">
        <f>IF(D29=0,C29+I29,D29+I29)</f>
        <v>0</v>
      </c>
      <c r="K29" s="212"/>
      <c r="L29" s="213"/>
    </row>
    <row r="30" spans="1:12" ht="12.75" customHeight="1" x14ac:dyDescent="0.25">
      <c r="A30" s="59" t="s">
        <v>353</v>
      </c>
      <c r="B30" s="110"/>
      <c r="C30" s="49">
        <f t="shared" ref="C30:L30" si="3">SUM(C24:C29)</f>
        <v>0</v>
      </c>
      <c r="D30" s="48">
        <f t="shared" si="3"/>
        <v>0</v>
      </c>
      <c r="E30" s="48">
        <f t="shared" si="3"/>
        <v>0</v>
      </c>
      <c r="F30" s="48">
        <f t="shared" si="3"/>
        <v>0</v>
      </c>
      <c r="G30" s="48">
        <f t="shared" si="3"/>
        <v>0</v>
      </c>
      <c r="H30" s="48">
        <f t="shared" si="3"/>
        <v>0</v>
      </c>
      <c r="I30" s="48">
        <f t="shared" si="3"/>
        <v>0</v>
      </c>
      <c r="J30" s="48">
        <f t="shared" si="3"/>
        <v>0</v>
      </c>
      <c r="K30" s="48">
        <f t="shared" si="3"/>
        <v>0</v>
      </c>
      <c r="L30" s="86">
        <f t="shared" si="3"/>
        <v>0</v>
      </c>
    </row>
    <row r="31" spans="1:12" ht="5.0999999999999996" customHeight="1" x14ac:dyDescent="0.25">
      <c r="A31" s="27"/>
      <c r="B31" s="92"/>
      <c r="C31" s="30"/>
      <c r="D31" s="29"/>
      <c r="E31" s="29"/>
      <c r="F31" s="29"/>
      <c r="G31" s="29"/>
      <c r="H31" s="29"/>
      <c r="I31" s="29"/>
      <c r="J31" s="29"/>
      <c r="K31" s="29"/>
      <c r="L31" s="85"/>
    </row>
    <row r="32" spans="1:12" ht="12.75" customHeight="1" x14ac:dyDescent="0.25">
      <c r="A32" s="58" t="s">
        <v>251</v>
      </c>
      <c r="B32" s="92"/>
      <c r="C32" s="30"/>
      <c r="D32" s="29"/>
      <c r="E32" s="29"/>
      <c r="F32" s="29"/>
      <c r="G32" s="29"/>
      <c r="H32" s="29"/>
      <c r="I32" s="29"/>
      <c r="J32" s="29"/>
      <c r="K32" s="29"/>
      <c r="L32" s="85"/>
    </row>
    <row r="33" spans="1:12" ht="12.75" customHeight="1" x14ac:dyDescent="0.25">
      <c r="A33" s="58" t="s">
        <v>360</v>
      </c>
      <c r="B33" s="92"/>
      <c r="C33" s="30"/>
      <c r="D33" s="29"/>
      <c r="E33" s="29"/>
      <c r="F33" s="29"/>
      <c r="G33" s="29"/>
      <c r="H33" s="29"/>
      <c r="I33" s="29"/>
      <c r="J33" s="29"/>
      <c r="K33" s="29"/>
      <c r="L33" s="85"/>
    </row>
    <row r="34" spans="1:12" ht="12.75" customHeight="1" x14ac:dyDescent="0.25">
      <c r="A34" s="26" t="s">
        <v>363</v>
      </c>
      <c r="B34" s="92"/>
      <c r="C34" s="211"/>
      <c r="D34" s="212"/>
      <c r="E34" s="212"/>
      <c r="F34" s="212"/>
      <c r="G34" s="212"/>
      <c r="H34" s="212"/>
      <c r="I34" s="29">
        <f>SUM(E34:H34)</f>
        <v>0</v>
      </c>
      <c r="J34" s="29">
        <f>IF(D34=0,C34+I34,D34+I34)</f>
        <v>0</v>
      </c>
      <c r="K34" s="212"/>
      <c r="L34" s="213"/>
    </row>
    <row r="35" spans="1:12" ht="12.75" customHeight="1" x14ac:dyDescent="0.25">
      <c r="A35" s="26" t="s">
        <v>411</v>
      </c>
      <c r="B35" s="92"/>
      <c r="C35" s="211"/>
      <c r="D35" s="212"/>
      <c r="E35" s="212"/>
      <c r="F35" s="212"/>
      <c r="G35" s="212"/>
      <c r="H35" s="212"/>
      <c r="I35" s="29">
        <f>SUM(E35:H35)</f>
        <v>0</v>
      </c>
      <c r="J35" s="29">
        <f>IF(D35=0,C35+I35,D35+I35)</f>
        <v>0</v>
      </c>
      <c r="K35" s="212"/>
      <c r="L35" s="213"/>
    </row>
    <row r="36" spans="1:12" ht="12.75" customHeight="1" x14ac:dyDescent="0.25">
      <c r="A36" s="26" t="s">
        <v>900</v>
      </c>
      <c r="B36" s="92"/>
      <c r="C36" s="211"/>
      <c r="D36" s="212"/>
      <c r="E36" s="212"/>
      <c r="F36" s="212"/>
      <c r="G36" s="212"/>
      <c r="H36" s="212"/>
      <c r="I36" s="29">
        <f>SUM(E36:H36)</f>
        <v>0</v>
      </c>
      <c r="J36" s="29">
        <f>IF(D36=0,C36+I36,D36+I36)</f>
        <v>0</v>
      </c>
      <c r="K36" s="212"/>
      <c r="L36" s="213"/>
    </row>
    <row r="37" spans="1:12" ht="12.75" customHeight="1" x14ac:dyDescent="0.25">
      <c r="A37" s="58" t="s">
        <v>361</v>
      </c>
      <c r="B37" s="92"/>
      <c r="C37" s="30"/>
      <c r="D37" s="29"/>
      <c r="E37" s="29"/>
      <c r="F37" s="29"/>
      <c r="G37" s="29"/>
      <c r="H37" s="29"/>
      <c r="I37" s="29"/>
      <c r="J37" s="29"/>
      <c r="K37" s="29"/>
      <c r="L37" s="85"/>
    </row>
    <row r="38" spans="1:12" ht="12.75" customHeight="1" x14ac:dyDescent="0.25">
      <c r="A38" s="26" t="s">
        <v>362</v>
      </c>
      <c r="B38" s="92"/>
      <c r="C38" s="211"/>
      <c r="D38" s="212"/>
      <c r="E38" s="212"/>
      <c r="F38" s="212"/>
      <c r="G38" s="212"/>
      <c r="H38" s="212"/>
      <c r="I38" s="29">
        <f>SUM(E38:H38)</f>
        <v>0</v>
      </c>
      <c r="J38" s="29">
        <f>IF(D38=0,C38+I38,D38+I38)</f>
        <v>0</v>
      </c>
      <c r="K38" s="212"/>
      <c r="L38" s="213"/>
    </row>
    <row r="39" spans="1:12" ht="12.75" customHeight="1" x14ac:dyDescent="0.25">
      <c r="A39" s="59" t="s">
        <v>354</v>
      </c>
      <c r="B39" s="110"/>
      <c r="C39" s="49">
        <f>SUM(C34:C38)</f>
        <v>0</v>
      </c>
      <c r="D39" s="48">
        <f t="shared" ref="D39:L39" si="4">SUM(D34:D38)</f>
        <v>0</v>
      </c>
      <c r="E39" s="48">
        <f t="shared" si="4"/>
        <v>0</v>
      </c>
      <c r="F39" s="48">
        <f t="shared" si="4"/>
        <v>0</v>
      </c>
      <c r="G39" s="48">
        <f t="shared" si="4"/>
        <v>0</v>
      </c>
      <c r="H39" s="48">
        <f t="shared" si="4"/>
        <v>0</v>
      </c>
      <c r="I39" s="48">
        <f t="shared" si="4"/>
        <v>0</v>
      </c>
      <c r="J39" s="48">
        <f t="shared" si="4"/>
        <v>0</v>
      </c>
      <c r="K39" s="48">
        <f t="shared" si="4"/>
        <v>0</v>
      </c>
      <c r="L39" s="86">
        <f t="shared" si="4"/>
        <v>0</v>
      </c>
    </row>
    <row r="40" spans="1:12" ht="5.0999999999999996" customHeight="1" x14ac:dyDescent="0.25">
      <c r="A40" s="27"/>
      <c r="B40" s="92"/>
      <c r="C40" s="30"/>
      <c r="D40" s="29"/>
      <c r="E40" s="29"/>
      <c r="F40" s="29"/>
      <c r="G40" s="29"/>
      <c r="H40" s="29"/>
      <c r="I40" s="29"/>
      <c r="J40" s="29"/>
      <c r="K40" s="29"/>
      <c r="L40" s="85"/>
    </row>
    <row r="41" spans="1:12" ht="12.75" customHeight="1" x14ac:dyDescent="0.25">
      <c r="A41" s="59" t="s">
        <v>364</v>
      </c>
      <c r="B41" s="110"/>
      <c r="C41" s="49">
        <f t="shared" ref="C41:L41" si="5">C20+C30+C39</f>
        <v>0</v>
      </c>
      <c r="D41" s="48">
        <f t="shared" si="5"/>
        <v>0</v>
      </c>
      <c r="E41" s="48">
        <f t="shared" si="5"/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8">
        <f t="shared" si="5"/>
        <v>0</v>
      </c>
      <c r="K41" s="48">
        <f t="shared" si="5"/>
        <v>0</v>
      </c>
      <c r="L41" s="86">
        <f t="shared" si="5"/>
        <v>0</v>
      </c>
    </row>
    <row r="42" spans="1:12" ht="12.75" customHeight="1" x14ac:dyDescent="0.25">
      <c r="A42" s="26" t="s">
        <v>328</v>
      </c>
      <c r="B42" s="92">
        <v>8</v>
      </c>
      <c r="C42" s="30">
        <f>C43-C41</f>
        <v>209203</v>
      </c>
      <c r="D42" s="29">
        <f>C43</f>
        <v>209203</v>
      </c>
      <c r="E42" s="29">
        <f>D43</f>
        <v>209203</v>
      </c>
      <c r="F42" s="29">
        <f>$E$42</f>
        <v>209203</v>
      </c>
      <c r="G42" s="29">
        <f>$E$42</f>
        <v>209203</v>
      </c>
      <c r="H42" s="29">
        <f>$E$42</f>
        <v>209203</v>
      </c>
      <c r="I42" s="29">
        <f>$E$42</f>
        <v>209203</v>
      </c>
      <c r="J42" s="29">
        <f>$E$42</f>
        <v>209203</v>
      </c>
      <c r="K42" s="29">
        <f>J43</f>
        <v>209203</v>
      </c>
      <c r="L42" s="85">
        <f>K43</f>
        <v>209203</v>
      </c>
    </row>
    <row r="43" spans="1:12" ht="12.75" customHeight="1" x14ac:dyDescent="0.25">
      <c r="A43" s="80" t="s">
        <v>272</v>
      </c>
      <c r="B43" s="72">
        <v>8</v>
      </c>
      <c r="C43" s="68">
        <f>'E4-FinPos'!C8+'E4-FinPos'!C9-'E4-FinPos'!C30</f>
        <v>209203</v>
      </c>
      <c r="D43" s="67">
        <f t="shared" ref="D43:L43" si="6">D41+D42</f>
        <v>209203</v>
      </c>
      <c r="E43" s="67">
        <f t="shared" si="6"/>
        <v>209203</v>
      </c>
      <c r="F43" s="67">
        <f t="shared" si="6"/>
        <v>209203</v>
      </c>
      <c r="G43" s="67">
        <f t="shared" si="6"/>
        <v>209203</v>
      </c>
      <c r="H43" s="67">
        <f t="shared" si="6"/>
        <v>209203</v>
      </c>
      <c r="I43" s="67">
        <f t="shared" si="6"/>
        <v>209203</v>
      </c>
      <c r="J43" s="67">
        <f t="shared" si="6"/>
        <v>209203</v>
      </c>
      <c r="K43" s="67">
        <f t="shared" si="6"/>
        <v>209203</v>
      </c>
      <c r="L43" s="102">
        <f t="shared" si="6"/>
        <v>209203</v>
      </c>
    </row>
    <row r="44" spans="1:12" ht="12.75" customHeight="1" x14ac:dyDescent="0.25">
      <c r="A44" s="37" t="s">
        <v>170</v>
      </c>
      <c r="B44" s="43"/>
      <c r="C44" s="54"/>
      <c r="D44" s="54"/>
      <c r="E44" s="52"/>
      <c r="F44" s="52"/>
      <c r="G44" s="52"/>
      <c r="H44" s="52"/>
      <c r="I44" s="52"/>
      <c r="J44" s="52"/>
      <c r="K44" s="52"/>
      <c r="L44" s="52"/>
    </row>
    <row r="45" spans="1:12" ht="12.75" customHeight="1" x14ac:dyDescent="0.25">
      <c r="A45" s="156" t="s">
        <v>425</v>
      </c>
      <c r="B45" s="43"/>
      <c r="C45" s="54"/>
      <c r="D45" s="54"/>
      <c r="E45" s="52"/>
      <c r="F45" s="52"/>
      <c r="G45" s="52"/>
      <c r="H45" s="52"/>
      <c r="I45" s="52"/>
      <c r="J45" s="52"/>
      <c r="K45" s="52"/>
      <c r="L45" s="52"/>
    </row>
    <row r="46" spans="1:12" ht="12.75" customHeight="1" x14ac:dyDescent="0.25">
      <c r="A46" s="156" t="s">
        <v>108</v>
      </c>
      <c r="B46" s="43"/>
      <c r="C46" s="54"/>
      <c r="D46" s="54"/>
      <c r="E46" s="52"/>
      <c r="F46" s="52"/>
      <c r="G46" s="52"/>
      <c r="H46" s="52"/>
      <c r="I46" s="52"/>
      <c r="J46" s="52"/>
      <c r="K46" s="52"/>
      <c r="L46" s="52"/>
    </row>
    <row r="47" spans="1:12" ht="12.75" customHeight="1" x14ac:dyDescent="0.25">
      <c r="A47" s="156" t="s">
        <v>427</v>
      </c>
      <c r="B47" s="43"/>
      <c r="C47" s="54"/>
      <c r="D47" s="54"/>
      <c r="E47" s="52"/>
      <c r="F47" s="52"/>
      <c r="G47" s="52"/>
      <c r="H47" s="52"/>
      <c r="I47" s="52"/>
      <c r="J47" s="52"/>
      <c r="K47" s="52"/>
      <c r="L47" s="52"/>
    </row>
    <row r="48" spans="1:12" ht="12.75" customHeight="1" x14ac:dyDescent="0.25">
      <c r="A48" s="156" t="s">
        <v>428</v>
      </c>
      <c r="B48" s="43"/>
      <c r="C48" s="54"/>
      <c r="D48" s="54"/>
      <c r="E48" s="52"/>
      <c r="F48" s="52"/>
      <c r="G48" s="52"/>
      <c r="H48" s="52"/>
      <c r="I48" s="52"/>
      <c r="J48" s="52"/>
      <c r="K48" s="52"/>
      <c r="L48" s="52"/>
    </row>
    <row r="49" spans="1:12" ht="12.75" customHeight="1" x14ac:dyDescent="0.25">
      <c r="A49" s="156" t="s">
        <v>225</v>
      </c>
      <c r="B49" s="43"/>
      <c r="C49" s="54"/>
      <c r="D49" s="54"/>
      <c r="E49" s="52"/>
      <c r="F49" s="52"/>
      <c r="G49" s="52"/>
      <c r="H49" s="52"/>
      <c r="I49" s="52"/>
      <c r="J49" s="52"/>
      <c r="K49" s="52"/>
      <c r="L49" s="52"/>
    </row>
    <row r="50" spans="1:12" ht="12.75" customHeight="1" x14ac:dyDescent="0.25">
      <c r="A50" s="156" t="s">
        <v>226</v>
      </c>
      <c r="B50" s="43"/>
      <c r="C50" s="54"/>
      <c r="D50" s="54"/>
      <c r="E50" s="52"/>
      <c r="F50" s="52"/>
      <c r="G50" s="52"/>
      <c r="H50" s="52"/>
      <c r="I50" s="52"/>
      <c r="J50" s="52"/>
      <c r="K50" s="52"/>
      <c r="L50" s="52"/>
    </row>
    <row r="51" spans="1:12" ht="12.75" customHeight="1" x14ac:dyDescent="0.25">
      <c r="A51" s="156" t="s">
        <v>227</v>
      </c>
      <c r="B51" s="43"/>
      <c r="C51" s="54"/>
      <c r="D51" s="54"/>
      <c r="E51" s="52"/>
      <c r="F51" s="52"/>
      <c r="G51" s="52"/>
      <c r="H51" s="52"/>
      <c r="I51" s="52"/>
      <c r="J51" s="52"/>
      <c r="K51" s="52"/>
      <c r="L51" s="52"/>
    </row>
    <row r="52" spans="1:12" ht="12.75" customHeight="1" x14ac:dyDescent="0.25">
      <c r="A52" s="286" t="s">
        <v>573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2" ht="12.75" customHeight="1" x14ac:dyDescent="0.25">
      <c r="A53" s="44" t="s">
        <v>135</v>
      </c>
      <c r="B53" s="38"/>
      <c r="C53" s="28">
        <f>'E4-FinPos'!C8+'E4-FinPos'!C9-'E4-FinPos'!C30</f>
        <v>209203</v>
      </c>
      <c r="D53" s="28">
        <f>'E4-FinPos'!D8+'E4-FinPos'!D9-'E4-FinPos'!D30</f>
        <v>0</v>
      </c>
      <c r="E53" s="28"/>
      <c r="F53" s="28"/>
      <c r="G53" s="28"/>
      <c r="H53" s="28"/>
      <c r="I53" s="28"/>
      <c r="J53" s="28">
        <f>'E4-FinPos'!J8+'E4-FinPos'!J9-'E4-FinPos'!J30</f>
        <v>209203</v>
      </c>
      <c r="K53" s="28">
        <f>'E4-FinPos'!K8+'E4-FinPos'!K9-'E4-FinPos'!K30</f>
        <v>0</v>
      </c>
      <c r="L53" s="28">
        <f>'E4-FinPos'!L8+'E4-FinPos'!L9-'E4-FinPos'!L30</f>
        <v>0</v>
      </c>
    </row>
    <row r="54" spans="1:12" ht="11.25" customHeight="1" x14ac:dyDescent="0.25">
      <c r="A54" s="44"/>
      <c r="B54" s="43"/>
      <c r="C54" s="44"/>
      <c r="D54" s="44"/>
      <c r="E54" s="45"/>
      <c r="F54" s="45"/>
      <c r="G54" s="45"/>
      <c r="H54" s="45"/>
      <c r="I54" s="45"/>
      <c r="J54" s="45"/>
      <c r="K54" s="45"/>
      <c r="L54" s="45"/>
    </row>
    <row r="55" spans="1:12" ht="11.25" customHeight="1" x14ac:dyDescent="0.25"/>
    <row r="56" spans="1:12" ht="11.25" customHeight="1" x14ac:dyDescent="0.25"/>
    <row r="57" spans="1:12" ht="11.25" customHeight="1" x14ac:dyDescent="0.25"/>
    <row r="58" spans="1:12" ht="11.25" customHeight="1" x14ac:dyDescent="0.25"/>
    <row r="59" spans="1:12" ht="11.25" customHeight="1" x14ac:dyDescent="0.25"/>
    <row r="60" spans="1:12" ht="11.25" customHeight="1" x14ac:dyDescent="0.25"/>
    <row r="61" spans="1:12" ht="11.25" customHeight="1" x14ac:dyDescent="0.25"/>
    <row r="62" spans="1:12" ht="11.25" customHeight="1" x14ac:dyDescent="0.25"/>
    <row r="63" spans="1:12" ht="11.25" customHeight="1" x14ac:dyDescent="0.25"/>
    <row r="64" spans="1:12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A35B" sheet="1" objects="1" scenarios="1"/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4 K8:L14 C16:H19 K16:L19 C24:H27 K24:L27 C29:H29 K29:L29 C34:H36 K34:L36 C38:H38 K38:L38">
      <formula1>-999999999999</formula1>
      <formula2>999999999999</formula2>
    </dataValidation>
  </dataValidations>
  <printOptions horizontalCentered="1"/>
  <pageMargins left="0.36" right="0.17" top="0.79" bottom="0.59" header="0.51181102362204722" footer="0.41"/>
  <pageSetup paperSize="9"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1E2492-A0BE-41C6-B845-F246150A3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D0316C-A419-48B9-91BF-0F881F424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DD739F3-24D0-4FE4-8DFE-1BA01D6D5BA5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110</vt:i4>
      </vt:variant>
    </vt:vector>
  </HeadingPairs>
  <TitlesOfParts>
    <vt:vector size="126" baseType="lpstr">
      <vt:lpstr>START</vt:lpstr>
      <vt:lpstr>Instructions</vt:lpstr>
      <vt:lpstr>E1-Sum</vt:lpstr>
      <vt:lpstr>E2-FinPerf</vt:lpstr>
      <vt:lpstr>E3-Capex</vt:lpstr>
      <vt:lpstr>E4-FinPos</vt:lpstr>
      <vt:lpstr>E5-CFlow</vt:lpstr>
      <vt:lpstr>SE1</vt:lpstr>
      <vt:lpstr>SE2</vt:lpstr>
      <vt:lpstr>SE3</vt:lpstr>
      <vt:lpstr>SE4</vt:lpstr>
      <vt:lpstr>SE5</vt:lpstr>
      <vt:lpstr>SE6a</vt:lpstr>
      <vt:lpstr>SE6b</vt:lpstr>
      <vt:lpstr>SE6c</vt:lpstr>
      <vt:lpstr>SE7</vt:lpstr>
      <vt:lpstr>basedesc</vt:lpstr>
      <vt:lpstr>Capex</vt:lpstr>
      <vt:lpstr>Cash1</vt:lpstr>
      <vt:lpstr>Cash2</vt:lpstr>
      <vt:lpstr>Instructions!Date</vt:lpstr>
      <vt:lpstr>Date</vt:lpstr>
      <vt:lpstr>desc</vt:lpstr>
      <vt:lpstr>entity</vt:lpstr>
      <vt:lpstr>fdil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head1A</vt:lpstr>
      <vt:lpstr>head1b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Head3a</vt:lpstr>
      <vt:lpstr>Head4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MEAB1</vt:lpstr>
      <vt:lpstr>MEAB10a</vt:lpstr>
      <vt:lpstr>MEAB10b</vt:lpstr>
      <vt:lpstr>MEAB10c</vt:lpstr>
      <vt:lpstr>MEAB11</vt:lpstr>
      <vt:lpstr>MEAB12</vt:lpstr>
      <vt:lpstr>MEAB2</vt:lpstr>
      <vt:lpstr>MEAB3</vt:lpstr>
      <vt:lpstr>MEAB4</vt:lpstr>
      <vt:lpstr>MEAB5</vt:lpstr>
      <vt:lpstr>MEAB6</vt:lpstr>
      <vt:lpstr>MEAB7</vt:lpstr>
      <vt:lpstr>MEAB8</vt:lpstr>
      <vt:lpstr>MEAB9</vt:lpstr>
      <vt:lpstr>MEABsum</vt:lpstr>
      <vt:lpstr>Instructions!MTREF</vt:lpstr>
      <vt:lpstr>MTREF</vt:lpstr>
      <vt:lpstr>muni</vt:lpstr>
      <vt:lpstr>munishort</vt:lpstr>
      <vt:lpstr>'E1-Sum'!Print_Area</vt:lpstr>
      <vt:lpstr>'E2-FinPerf'!Print_Area</vt:lpstr>
      <vt:lpstr>'E3-Capex'!Print_Area</vt:lpstr>
      <vt:lpstr>'E4-FinPos'!Print_Area</vt:lpstr>
      <vt:lpstr>'E5-CFlow'!Print_Area</vt:lpstr>
      <vt:lpstr>Instructions!Print_Area</vt:lpstr>
      <vt:lpstr>'SE1'!Print_Area</vt:lpstr>
      <vt:lpstr>'SE3'!Print_Area</vt:lpstr>
      <vt:lpstr>'SE4'!Print_Area</vt:lpstr>
      <vt:lpstr>'SE5'!Print_Area</vt:lpstr>
      <vt:lpstr>RandM</vt:lpstr>
      <vt:lpstr>result</vt:lpstr>
      <vt:lpstr>SFPerf1</vt:lpstr>
      <vt:lpstr>SFPerf2</vt:lpstr>
      <vt:lpstr>SFpos1</vt:lpstr>
      <vt:lpstr>SFpos2</vt:lpstr>
      <vt:lpstr>Vdesc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2016-03-01T09:16:19Z</dcterms:created>
  <dcterms:modified xsi:type="dcterms:W3CDTF">2016-03-01T09:16:19Z</dcterms:modified>
</cp:coreProperties>
</file>